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4" activeTab="9"/>
  </bookViews>
  <sheets>
    <sheet name="bev.össz" sheetId="1" r:id="rId1"/>
    <sheet name="kiadás össz." sheetId="2" r:id="rId2"/>
    <sheet name="önkorm.bev" sheetId="3" r:id="rId3"/>
    <sheet name=" Önkorm A" sheetId="4" r:id="rId4"/>
    <sheet name="Hivatal bevétel" sheetId="5" r:id="rId5"/>
    <sheet name="Hiv. kiadás" sheetId="6" r:id="rId6"/>
    <sheet name="Óvoda bev." sheetId="7" r:id="rId7"/>
    <sheet name="Óvoda kiad." sheetId="8" r:id="rId8"/>
    <sheet name="Könyvtár bev." sheetId="9" r:id="rId9"/>
    <sheet name="Könyvtár kiad" sheetId="10" r:id="rId10"/>
    <sheet name="Beruházás" sheetId="11" r:id="rId11"/>
    <sheet name="tartalék" sheetId="12" r:id="rId12"/>
    <sheet name="maradvány" sheetId="13" r:id="rId13"/>
    <sheet name="Mérleg" sheetId="14" r:id="rId14"/>
    <sheet name="létszám" sheetId="15" r:id="rId15"/>
    <sheet name="Tervezett" sheetId="16" r:id="rId16"/>
    <sheet name="Közvetett tám." sheetId="17" r:id="rId17"/>
    <sheet name="Többéves" sheetId="18" r:id="rId18"/>
    <sheet name="Ütemterv" sheetId="19" r:id="rId19"/>
    <sheet name="Adósságot" sheetId="20" r:id="rId20"/>
    <sheet name="EU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4" authorId="0">
      <text>
        <r>
          <rPr>
            <b/>
            <sz val="9"/>
            <rFont val="Segoe UI"/>
            <family val="2"/>
          </rPr>
          <t>User:</t>
        </r>
        <r>
          <rPr>
            <sz val="9"/>
            <rFont val="Segoe UI"/>
            <family val="2"/>
          </rPr>
          <t xml:space="preserve">
TB, közfogl, 
</t>
        </r>
      </text>
    </comment>
  </commentList>
</comments>
</file>

<file path=xl/comments4.xml><?xml version="1.0" encoding="utf-8"?>
<comments xmlns="http://schemas.openxmlformats.org/spreadsheetml/2006/main">
  <authors>
    <author>Rupert ?gnes</author>
  </authors>
  <commentList>
    <comment ref="B38" authorId="0">
      <text>
        <r>
          <rPr>
            <b/>
            <sz val="9"/>
            <rFont val="Tahoma"/>
            <family val="2"/>
          </rPr>
          <t>Rupert Ágnes:</t>
        </r>
        <r>
          <rPr>
            <sz val="9"/>
            <rFont val="Tahoma"/>
            <family val="2"/>
          </rPr>
          <t xml:space="preserve">
Bursa Hungarika, 
</t>
        </r>
      </text>
    </comment>
    <comment ref="B57" authorId="0">
      <text>
        <r>
          <rPr>
            <b/>
            <sz val="9"/>
            <rFont val="Tahoma"/>
            <family val="2"/>
          </rPr>
          <t>Rupert Ágnes:</t>
        </r>
        <r>
          <rPr>
            <sz val="9"/>
            <rFont val="Tahoma"/>
            <family val="2"/>
          </rPr>
          <t xml:space="preserve">
2021 évi megelőlegezések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B24" authorId="0">
      <text>
        <r>
          <rPr>
            <b/>
            <sz val="9"/>
            <rFont val="Segoe UI"/>
            <family val="2"/>
          </rPr>
          <t>User:</t>
        </r>
        <r>
          <rPr>
            <sz val="9"/>
            <rFont val="Segoe UI"/>
            <family val="2"/>
          </rPr>
          <t xml:space="preserve">
eladott termény, termék bev.</t>
        </r>
      </text>
    </comment>
  </commentList>
</comments>
</file>

<file path=xl/sharedStrings.xml><?xml version="1.0" encoding="utf-8"?>
<sst xmlns="http://schemas.openxmlformats.org/spreadsheetml/2006/main" count="1763" uniqueCount="454">
  <si>
    <t>4. melléklet a …………………... önkormányzati rendelethez</t>
  </si>
  <si>
    <t xml:space="preserve">SZENTMÁRTONKÁTA NAGYKÖZSÉG ÖNKORMÁNYZATA </t>
  </si>
  <si>
    <t>K1-K8. Költségvetési kiadások</t>
  </si>
  <si>
    <t>Sor-
szám</t>
  </si>
  <si>
    <t>Rovat megnevezése</t>
  </si>
  <si>
    <t>Rovat
szám</t>
  </si>
  <si>
    <t>Eredeti előriányzat 2021</t>
  </si>
  <si>
    <t>Ebből:</t>
  </si>
  <si>
    <t>Kötelező        feladat</t>
  </si>
  <si>
    <t>Önként váll.  feladat</t>
  </si>
  <si>
    <t>Állami            feladat</t>
  </si>
  <si>
    <t>01</t>
  </si>
  <si>
    <t>Törvény szerinti illetmények, munkabérek</t>
  </si>
  <si>
    <t>K1101</t>
  </si>
  <si>
    <t>02</t>
  </si>
  <si>
    <t>Céljuttatás, projektprémium</t>
  </si>
  <si>
    <t>K1103</t>
  </si>
  <si>
    <t>03</t>
  </si>
  <si>
    <t>Készenléti, ügyeleti, helyettesítési díj, túlóra, túlszolgálat</t>
  </si>
  <si>
    <t>K1104</t>
  </si>
  <si>
    <t>04</t>
  </si>
  <si>
    <t>Jubileumi jutalom</t>
  </si>
  <si>
    <t>K1106</t>
  </si>
  <si>
    <t>05</t>
  </si>
  <si>
    <t>Béren kívüli juttatások</t>
  </si>
  <si>
    <t>K1107</t>
  </si>
  <si>
    <t>06</t>
  </si>
  <si>
    <t>Ruházati költségtérítés</t>
  </si>
  <si>
    <t>K1108</t>
  </si>
  <si>
    <t>07</t>
  </si>
  <si>
    <t>Közlekedési költségtérítés</t>
  </si>
  <si>
    <t>K1109</t>
  </si>
  <si>
    <t>08</t>
  </si>
  <si>
    <t>Egyéb költségtérítések</t>
  </si>
  <si>
    <t>K1110</t>
  </si>
  <si>
    <t>09</t>
  </si>
  <si>
    <t>Foglalkoztatottak egyéb juttatásai</t>
  </si>
  <si>
    <t>K1113</t>
  </si>
  <si>
    <t>10</t>
  </si>
  <si>
    <t>Választott tisztségviselők juttatásai</t>
  </si>
  <si>
    <t>K121</t>
  </si>
  <si>
    <t>11</t>
  </si>
  <si>
    <t>Munkavégzésre irányuló egyéb jogviszonyban nem saját foglalkoztatottnak fizetett juttatások</t>
  </si>
  <si>
    <t>K122</t>
  </si>
  <si>
    <t>12</t>
  </si>
  <si>
    <t>Egyéb külső személyi juttatások</t>
  </si>
  <si>
    <t>K123</t>
  </si>
  <si>
    <t>13</t>
  </si>
  <si>
    <t>Személyi juttatások</t>
  </si>
  <si>
    <t>K1</t>
  </si>
  <si>
    <t>14</t>
  </si>
  <si>
    <t>Munkaadókat terhelő járulékok és szociális hozzájárulási adó</t>
  </si>
  <si>
    <t>K2</t>
  </si>
  <si>
    <t>15</t>
  </si>
  <si>
    <t>Szakmai anyagok beszerzése</t>
  </si>
  <si>
    <t>K311</t>
  </si>
  <si>
    <t>16</t>
  </si>
  <si>
    <t>Üzemeltetési anyagok beszerzése</t>
  </si>
  <si>
    <t>K312</t>
  </si>
  <si>
    <t>17</t>
  </si>
  <si>
    <t>Informatikai szolgáltatások igénybevétele</t>
  </si>
  <si>
    <t>K321</t>
  </si>
  <si>
    <t>18</t>
  </si>
  <si>
    <t>Egyéb kommunikációs szolgáltatások</t>
  </si>
  <si>
    <t>K322</t>
  </si>
  <si>
    <t>19</t>
  </si>
  <si>
    <t>Közüzemi díjak</t>
  </si>
  <si>
    <t>K331</t>
  </si>
  <si>
    <t>20</t>
  </si>
  <si>
    <t>Karbantartási, kisjavítási szolgáltatások</t>
  </si>
  <si>
    <t>K334</t>
  </si>
  <si>
    <t>21</t>
  </si>
  <si>
    <t>Közvetített szolgáltatások</t>
  </si>
  <si>
    <t>K335</t>
  </si>
  <si>
    <t>22</t>
  </si>
  <si>
    <t>Szakmai tevékenységet segítő szolgáltatások</t>
  </si>
  <si>
    <t>K336</t>
  </si>
  <si>
    <t>23</t>
  </si>
  <si>
    <t>Egyéb szolgáltatások</t>
  </si>
  <si>
    <t>K337</t>
  </si>
  <si>
    <t>24</t>
  </si>
  <si>
    <t>Kiküldetések kiadásai</t>
  </si>
  <si>
    <t>K341</t>
  </si>
  <si>
    <t>25</t>
  </si>
  <si>
    <t>Működési célú előzetesen felszámított általános forgalmi adó</t>
  </si>
  <si>
    <t>K351</t>
  </si>
  <si>
    <t>26</t>
  </si>
  <si>
    <t>Fizetendő általános forgalmi adó</t>
  </si>
  <si>
    <t>K352</t>
  </si>
  <si>
    <t>27</t>
  </si>
  <si>
    <t>Dologi kiadások</t>
  </si>
  <si>
    <t>K3</t>
  </si>
  <si>
    <t>28</t>
  </si>
  <si>
    <t>Betegséggel kapcsolatos ellátások</t>
  </si>
  <si>
    <t>K44</t>
  </si>
  <si>
    <t>29</t>
  </si>
  <si>
    <t>Egyéb nem intézményi ellátások</t>
  </si>
  <si>
    <t>K48</t>
  </si>
  <si>
    <t>30</t>
  </si>
  <si>
    <t>Ellátottak pénzbeli juttatásai</t>
  </si>
  <si>
    <t>K4</t>
  </si>
  <si>
    <t>31</t>
  </si>
  <si>
    <t>Egyéb működési célú támogatások államháztartáson belülre</t>
  </si>
  <si>
    <t>K506</t>
  </si>
  <si>
    <t>32</t>
  </si>
  <si>
    <t>Egyéb működési célú támogatások államháztartáson kívülre</t>
  </si>
  <si>
    <t>K512</t>
  </si>
  <si>
    <t>33</t>
  </si>
  <si>
    <t>Tartalékok</t>
  </si>
  <si>
    <t>K513</t>
  </si>
  <si>
    <t>34</t>
  </si>
  <si>
    <t>Egyéb működési célú kiadások</t>
  </si>
  <si>
    <t>K5</t>
  </si>
  <si>
    <t>35</t>
  </si>
  <si>
    <t>Ingatlanok beszerzése, létesítése</t>
  </si>
  <si>
    <t>K62</t>
  </si>
  <si>
    <t>36</t>
  </si>
  <si>
    <t>Egyéb tárgyi eszközök beszerzése, létesítése</t>
  </si>
  <si>
    <t>K64</t>
  </si>
  <si>
    <t>37</t>
  </si>
  <si>
    <t>Beruházási célú előzetesen felszámított általános forgalmi adó</t>
  </si>
  <si>
    <t>K67</t>
  </si>
  <si>
    <t>38</t>
  </si>
  <si>
    <t>Beruházások</t>
  </si>
  <si>
    <t>K6</t>
  </si>
  <si>
    <t>39</t>
  </si>
  <si>
    <t>Ingatlanok felújítása</t>
  </si>
  <si>
    <t>K71</t>
  </si>
  <si>
    <t>40</t>
  </si>
  <si>
    <t>Felújítási célú előzetesen felszámított általános forgalmi adó</t>
  </si>
  <si>
    <t>K74</t>
  </si>
  <si>
    <t>41</t>
  </si>
  <si>
    <t>Felújítások</t>
  </si>
  <si>
    <t>K7</t>
  </si>
  <si>
    <t>42</t>
  </si>
  <si>
    <t>Felhalmozási célú garancia- és kezességvállalásból származó kifizetés államháztartáson kívülre</t>
  </si>
  <si>
    <t>K85</t>
  </si>
  <si>
    <t>43</t>
  </si>
  <si>
    <t>Egyéb felhalmozási célú kiadások</t>
  </si>
  <si>
    <t>K8</t>
  </si>
  <si>
    <t>44</t>
  </si>
  <si>
    <t>Költségvetési kiadások</t>
  </si>
  <si>
    <t>K1-K8</t>
  </si>
  <si>
    <t>K9. Finanszírozási kiadások</t>
  </si>
  <si>
    <t>Eredeti előriányzat</t>
  </si>
  <si>
    <t>Államháztartáson belüli megelőlegezések visszafizetése</t>
  </si>
  <si>
    <t>K914</t>
  </si>
  <si>
    <t>45</t>
  </si>
  <si>
    <t>Központi irányítő szervi támogatások folyósítása</t>
  </si>
  <si>
    <t>K915</t>
  </si>
  <si>
    <t>46</t>
  </si>
  <si>
    <t>Finanszírozási kiadások</t>
  </si>
  <si>
    <t>K9</t>
  </si>
  <si>
    <t>Kiadások mindösszesen</t>
  </si>
  <si>
    <t>3. melléklet a ………….. önkormányzati rendelethez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</si>
  <si>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</si>
  <si>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</si>
  <si>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</si>
  <si>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</si>
  <si>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</si>
  <si>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egyes szociális és gyermekjóléti feladatainak támogatása</t>
  </si>
  <si>
    <t>B1131</t>
  </si>
  <si>
    <t>Települési önkormányzatok gyermekétkeztetési felaatinak támogatása</t>
  </si>
  <si>
    <t>B1132</t>
  </si>
  <si>
    <t>Települési önkormányzatok szociális gyermekjóléti és gyermekétkezttési feladatinak támogatása</t>
  </si>
  <si>
    <t>B113</t>
  </si>
  <si>
    <t>Települési önkormányzatok kulturális feladatainak támogatása</t>
  </si>
  <si>
    <t>B114</t>
  </si>
  <si>
    <t>Elszámolásból származó bevételek</t>
  </si>
  <si>
    <t>B116</t>
  </si>
  <si>
    <t>Egyéb működési célú támogatások bevételei államháztartáson belülről</t>
  </si>
  <si>
    <t>B16</t>
  </si>
  <si>
    <t>Működési célú támogatások államháztartáson belülről (=09+…+14)</t>
  </si>
  <si>
    <t>B1</t>
  </si>
  <si>
    <t>Egyéb felhalmozási célú támogatások bevételei államháztartáson belülről</t>
  </si>
  <si>
    <t>B25</t>
  </si>
  <si>
    <t>Felhalmozási célú támogatások államháztartáson belülről (=16+…+20)</t>
  </si>
  <si>
    <t>B2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</si>
  <si>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</si>
  <si>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</si>
  <si>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</si>
  <si>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</si>
  <si>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</si>
  <si>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</si>
  <si>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 xml:space="preserve">Egyéb közhatalmi bevételek </t>
  </si>
  <si>
    <t>B36</t>
  </si>
  <si>
    <t>Közhatalmi bevételek (=27+...+34)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</si>
  <si>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</si>
  <si>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</si>
  <si>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</si>
  <si>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</si>
  <si>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</si>
  <si>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</si>
  <si>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</si>
  <si>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</si>
  <si>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</si>
  <si>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</si>
  <si>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</si>
  <si>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</si>
  <si>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</si>
  <si>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Működési bevételek (=36+…+41)</t>
  </si>
  <si>
    <t>B4</t>
  </si>
  <si>
    <t>Ingatlanok értékesítése</t>
  </si>
  <si>
    <t>B52</t>
  </si>
  <si>
    <t>Felhalmozási bevételek</t>
  </si>
  <si>
    <t>B5</t>
  </si>
  <si>
    <t>Működési célú visszatérítendő támogatások, kölcsönök visszatérülése államháztartáson kívülről</t>
  </si>
  <si>
    <t>B64</t>
  </si>
  <si>
    <t>Működési célú átvett pénzeszközök (=61)</t>
  </si>
  <si>
    <t>B6</t>
  </si>
  <si>
    <t>Egyéb felhalmozási célú átvett pénzeszközök</t>
  </si>
  <si>
    <t>B75</t>
  </si>
  <si>
    <t>Felhalmozási célú átvett pénzeszközök</t>
  </si>
  <si>
    <t>B7</t>
  </si>
  <si>
    <t>Költségvetési bevételek (=15+21+35+51+63+69)</t>
  </si>
  <si>
    <t>B1-B7</t>
  </si>
  <si>
    <t>B8. Finanszírozási bevételek bevételek</t>
  </si>
  <si>
    <t xml:space="preserve">Előző év költségvetési maradványnak igénybevétele </t>
  </si>
  <si>
    <t>B8131</t>
  </si>
  <si>
    <t>Maradvány igénybevétele</t>
  </si>
  <si>
    <t>B813</t>
  </si>
  <si>
    <t>Központi, irányító szervi támogatás</t>
  </si>
  <si>
    <t>B816</t>
  </si>
  <si>
    <t>Finanszírozási bevételek</t>
  </si>
  <si>
    <t>B8</t>
  </si>
  <si>
    <t>Bevételek mindösszesen</t>
  </si>
  <si>
    <t>5. melléklet a …………………….. önkormányzati rendelethez</t>
  </si>
  <si>
    <t>SZENTMÁRTONKÁTA KÖZÖS ÖNKORMÁNYZATAI HIVATAL</t>
  </si>
  <si>
    <t xml:space="preserve">B8. Finanszírozási bevételek </t>
  </si>
  <si>
    <t>6. melléklet a ………………….. önkormányzati rendelethez</t>
  </si>
  <si>
    <t>SZENTMÁRTONKÁTAI KÖZÖS ÖNKORMÁNYZATI HIVATAL</t>
  </si>
  <si>
    <t>7. melléklet a ………………. önkormányzati rendelethez</t>
  </si>
  <si>
    <t>SZENTMÁRTONKÁTAI APRAJAFALVA ÓVODA ÉS KONYHA</t>
  </si>
  <si>
    <t>8. melléklet a …………………. önkormányzati rendelethez</t>
  </si>
  <si>
    <t>Készenléti, ügeleti, helyettesítési díj, túlóra, túlszolgálat</t>
  </si>
  <si>
    <t>Informatikai eszközök beszerzése</t>
  </si>
  <si>
    <t>K63</t>
  </si>
  <si>
    <t>9. melléklet a ……………….. önkormányzati rendelethez</t>
  </si>
  <si>
    <t>SZABÓ MAGDA NAGYKÖZSÉGI KÖNYVTÁR ÉS MŰVELŐDÉSI HÁZ</t>
  </si>
  <si>
    <t>10. melléklet a ………………...önkormányzati rendelethez</t>
  </si>
  <si>
    <t>Törvéy szerinti illetmények, munkabérek</t>
  </si>
  <si>
    <t>Állami normatíva</t>
  </si>
  <si>
    <t>Megnevezés</t>
  </si>
  <si>
    <t>Eredeti előirányzat</t>
  </si>
  <si>
    <t>Könyvtár</t>
  </si>
  <si>
    <t xml:space="preserve">Szentmártonkáta </t>
  </si>
  <si>
    <t>Szentlőrinckáta</t>
  </si>
  <si>
    <t>Tartalék megnevezése</t>
  </si>
  <si>
    <t>Kötelező feladat</t>
  </si>
  <si>
    <t>Önként vállalt feladat</t>
  </si>
  <si>
    <t>Összesen</t>
  </si>
  <si>
    <t>Előirányzat átcsoportosítási hatáskör / megjegyzés</t>
  </si>
  <si>
    <t>KT / Polgármester hatáskör</t>
  </si>
  <si>
    <t>Mindösszesen</t>
  </si>
  <si>
    <t>12. melléklet a ….............. önkormányzati rendelethez</t>
  </si>
  <si>
    <t>Kormányzati funkció</t>
  </si>
  <si>
    <t>Felhalmozási célú támogatások</t>
  </si>
  <si>
    <t>064010-Közvilágítás</t>
  </si>
  <si>
    <t>Közvilágítás korszerűsítés</t>
  </si>
  <si>
    <t>066020-Város és községgazd.</t>
  </si>
  <si>
    <t>Egyéb tárgyi eszközök beszerzése</t>
  </si>
  <si>
    <t>Járdaépítés</t>
  </si>
  <si>
    <t>Gépjárműbeszerzés</t>
  </si>
  <si>
    <t>011130 - Önkormányzatok és önkormányzati hivatalok jogalkotó és általános igazgatási tevékenysége</t>
  </si>
  <si>
    <t>091110-Óvodai nevelés, ellátás szakmai feladatai</t>
  </si>
  <si>
    <t>096015-Gyermekétkeztetés köznevelési intézményben</t>
  </si>
  <si>
    <t>11. melléklet a …........................ önkormányzati rendelethez</t>
  </si>
  <si>
    <t>Rovat szám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</si>
  <si>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</si>
  <si>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</si>
  <si>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</si>
  <si>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</si>
  <si>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Elláttotak pénzbeli juttatásai</t>
  </si>
  <si>
    <t>Működési költségvetés előirányzat csoport</t>
  </si>
  <si>
    <t>Felhalmozási célú támogatások államháztartáson belülről</t>
  </si>
  <si>
    <t>Felhalmozási költségvetés előirányzat csoport</t>
  </si>
  <si>
    <t>BEVÉTELEK ÖSSZESEN (B1-8)</t>
  </si>
  <si>
    <t>KIADÁSOK ÖSSZESEN (K1-9)</t>
  </si>
  <si>
    <t>2022. évi eredeti ei. (Ft)</t>
  </si>
  <si>
    <t>Költségvetési cím száma / neve</t>
  </si>
  <si>
    <t>Köztisztviselők</t>
  </si>
  <si>
    <t>Közalkalmazottak</t>
  </si>
  <si>
    <t>Munka törvénykönyve hatálya alatt lévők</t>
  </si>
  <si>
    <t>Tiszteltdíj alapján foglalkoztatottak</t>
  </si>
  <si>
    <t>Tervezett álláshely</t>
  </si>
  <si>
    <t>Évközi változás</t>
  </si>
  <si>
    <t>Szentmártonkáta Nagyközség Önkormányzata</t>
  </si>
  <si>
    <t xml:space="preserve"> - védőnői feladatok</t>
  </si>
  <si>
    <t xml:space="preserve"> - gyermekorvosi feladatok</t>
  </si>
  <si>
    <t xml:space="preserve"> - város és községgazdálkodási feladatok</t>
  </si>
  <si>
    <t xml:space="preserve"> - házi segítségnyújtás feladatok</t>
  </si>
  <si>
    <t xml:space="preserve"> - választott tisztségviselők</t>
  </si>
  <si>
    <t xml:space="preserve"> - közfoglalkoztatási feladatok</t>
  </si>
  <si>
    <t>Szentmártonkáta Nagyközség Önkormányzata összesen</t>
  </si>
  <si>
    <t>Szentmártonkátai Közös Önkormányzati Hivatal</t>
  </si>
  <si>
    <t xml:space="preserve"> - hivatali feladatok (Szentmártonkáta)</t>
  </si>
  <si>
    <t xml:space="preserve"> - hivatali feladatok (Szentlőrinckáta)</t>
  </si>
  <si>
    <t xml:space="preserve"> - család és gyermekjóléti szolgálat (Szentmártonkáta)</t>
  </si>
  <si>
    <t xml:space="preserve"> - család és gyermekjóléti szolgálat (Szentlőrinckáta)</t>
  </si>
  <si>
    <t>Szentmártonkátai Közös Önkormányzati Hivatal összesen</t>
  </si>
  <si>
    <t>Szentmártonkátai Aprajafalva Óvoda és Konyha</t>
  </si>
  <si>
    <t xml:space="preserve"> - óvodai feladatok</t>
  </si>
  <si>
    <t xml:space="preserve"> - étkeztetési feladatok</t>
  </si>
  <si>
    <t>Szentmártonkátai Aprajafalva Óvoda és Konyha összesen</t>
  </si>
  <si>
    <t>Szabó Magda Nagyközségi Könyvtár és Művelődési Ház</t>
  </si>
  <si>
    <t>Szabó Magda Nagyközségi Könyvtár és Művelődési Ház összesen</t>
  </si>
  <si>
    <t>SZENTMÁRTONKÁTA NAGYKÖZSÉG ÖNKORMÁNYZATA</t>
  </si>
  <si>
    <t>Bevételi előirányzatok</t>
  </si>
  <si>
    <t>2022.</t>
  </si>
  <si>
    <t>2023.</t>
  </si>
  <si>
    <t>2024.</t>
  </si>
  <si>
    <t>Kiadási előirányzatok</t>
  </si>
  <si>
    <t>Munkáltatót terhelő járulékok</t>
  </si>
  <si>
    <t>2025.</t>
  </si>
  <si>
    <t xml:space="preserve">BEVÉTELEK ÉS KIADÁSOK 2022-2025. ÉVI TERVEZETT ELŐIRÁNYZATAI </t>
  </si>
  <si>
    <t>16. melléklet a …............. önkormányzati rendelethez</t>
  </si>
  <si>
    <t>17. melléklet a …............... önkormányzati rendelethez</t>
  </si>
  <si>
    <t xml:space="preserve">AZ ÖNKORMÁNYZAT 2022. ÉVRE VÁRHATÓ KÖZVETETT TÁMOGATÁSAI </t>
  </si>
  <si>
    <t>TÁJÉKOZTATÓ</t>
  </si>
  <si>
    <t>A TÖBBÉVES KIHATÁSSAL JÁRÓ DÖNTÉSEKRŐL</t>
  </si>
  <si>
    <t>Sor-szám</t>
  </si>
  <si>
    <t>Kötelezettségek</t>
  </si>
  <si>
    <t>Elkötelezettség időtartama</t>
  </si>
  <si>
    <t>Helyi tömegközlekedés támogatása</t>
  </si>
  <si>
    <t>2019-2029.</t>
  </si>
  <si>
    <t>Közvilágítási aktív elemek korszerűsítése</t>
  </si>
  <si>
    <t>2017-2026</t>
  </si>
  <si>
    <t>Térfigyelő rendszer karbantartása</t>
  </si>
  <si>
    <t>2019-2022</t>
  </si>
  <si>
    <t>Házi gyermekorvosi tevékenység ellátása</t>
  </si>
  <si>
    <t>2017-határozatlan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</si>
  <si>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</si>
  <si>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</si>
  <si>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</si>
  <si>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</si>
  <si>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</si>
  <si>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</si>
  <si>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</si>
  <si>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</si>
  <si>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</si>
  <si>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</si>
  <si>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</si>
  <si>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</si>
  <si>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</t>
  </si>
  <si>
    <t>Bevételek összesen:</t>
  </si>
  <si>
    <t>KIADÁSOK</t>
  </si>
  <si>
    <t>Működési kiadások</t>
  </si>
  <si>
    <t>Felhalmozási kiadások</t>
  </si>
  <si>
    <t>Kiadások összesen:</t>
  </si>
  <si>
    <t>18. melléklet a …............. önkormányzati rendelethez</t>
  </si>
  <si>
    <t>Az önkormányzat adósságot keletkeztető ügyleteiből eredő fizetési kötelezettségeinek bemutatása</t>
  </si>
  <si>
    <t>ADÓSSÁGOT KELETKEZTETŐ ÜGYLETEK</t>
  </si>
  <si>
    <t>Kötelezettség</t>
  </si>
  <si>
    <t>2022. év</t>
  </si>
  <si>
    <t>2023. év</t>
  </si>
  <si>
    <t>2024. év</t>
  </si>
  <si>
    <t>Összesen:</t>
  </si>
  <si>
    <t>SAJÁT BEVÉTELEK</t>
  </si>
  <si>
    <r>
      <t>Helyi adóból és a települési adóból származó bevétel</t>
    </r>
    <r>
      <rPr>
        <sz val="10"/>
        <color indexed="63"/>
        <rFont val="Arial"/>
        <family val="2"/>
      </rPr>
      <t xml:space="preserve"> </t>
    </r>
  </si>
  <si>
    <t>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</si>
  <si>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</si>
  <si>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</si>
  <si>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Bírság, pótlék, díjbevétel</t>
  </si>
  <si>
    <t xml:space="preserve">A kezesség-, illetve a garanciavállalással kapcsolatos megtérülés </t>
  </si>
  <si>
    <t xml:space="preserve">ADÓSSÁGOT KELETKEZTETŐ ÜGYLETEK </t>
  </si>
  <si>
    <t>ÉS SAJÁT BEVÉTELEK ÖSSZEVETÉSE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</si>
  <si>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</si>
  <si>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</si>
  <si>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</si>
  <si>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20. melléklet a ….................... önkormányzati rendelethez</t>
  </si>
  <si>
    <t>Ssz.</t>
  </si>
  <si>
    <t>Projekt</t>
  </si>
  <si>
    <t>Tevékenység</t>
  </si>
  <si>
    <t>Bevételek</t>
  </si>
  <si>
    <t>Kiadások</t>
  </si>
  <si>
    <t>1.</t>
  </si>
  <si>
    <t xml:space="preserve">Külterületi helyi közutak fejlesztése </t>
  </si>
  <si>
    <t>Saját erő</t>
  </si>
  <si>
    <t xml:space="preserve">  -</t>
  </si>
  <si>
    <t>Támogatás</t>
  </si>
  <si>
    <t>Projektek öszesen:</t>
  </si>
  <si>
    <t>21. melléklet a …............ önkormányzati rendelethez</t>
  </si>
  <si>
    <t>Európai Uniós támogatásból finanszírozott projektek bevételeinek - kiadásainak bemutatása  2022.</t>
  </si>
  <si>
    <t>19. melléklet a …...... önkormányzati rendelethez</t>
  </si>
  <si>
    <t>2. melléklet a …………………... önkormányzati rendelethez</t>
  </si>
  <si>
    <t>KÖLTSÉGVETÉSI MÉRLEG</t>
  </si>
  <si>
    <t>SZENTMÁRTONKÁTA NAGYKÖZSÉG ÖNKORMÁNYZATA ÉS INTÉZMÉNYEI</t>
  </si>
  <si>
    <t>Normatíva finanszírozás Óvoda</t>
  </si>
  <si>
    <t>Normatíva finanszírozás Konyha</t>
  </si>
  <si>
    <t>Saját bevétel</t>
  </si>
  <si>
    <t>Önkormányzati finanszírozás</t>
  </si>
  <si>
    <t>Polgármester</t>
  </si>
  <si>
    <r>
      <t xml:space="preserve">  - </t>
    </r>
    <r>
      <rPr>
        <sz val="10"/>
        <color indexed="8"/>
        <rFont val="Times New Roman"/>
        <family val="1"/>
      </rPr>
      <t>könyvtári feladatok</t>
    </r>
  </si>
  <si>
    <t>Eredeti előriányzat 2022</t>
  </si>
  <si>
    <t>Magyar Falu program járda felújítás</t>
  </si>
  <si>
    <t>Bölcsöde eszközbeszerzés</t>
  </si>
  <si>
    <t>Kamera</t>
  </si>
  <si>
    <t>Óvoda előtető</t>
  </si>
  <si>
    <t xml:space="preserve">074031 - Család és nővédelmi egészségügyi gondozás </t>
  </si>
  <si>
    <t>irodai székek</t>
  </si>
  <si>
    <t>072111 - Háziorvosi alapellátás</t>
  </si>
  <si>
    <t>tisztasági festés</t>
  </si>
  <si>
    <t>70 év felettiek kapnak kedvrzményt</t>
  </si>
  <si>
    <t>Finanszíroási bevételek</t>
  </si>
  <si>
    <t>1. Kommunális adó esetében a mentesség ingatlanra adható, melynek várható összege 506 fő esetén 5.205.111,- Ft</t>
  </si>
  <si>
    <t>2. Az önkormányzat által nyújtott babakelengye támogatás összege várhatóan: 700.000,- Ft</t>
  </si>
  <si>
    <t>Feladat megnevezése</t>
  </si>
  <si>
    <t>Szabad pénzmaradvány</t>
  </si>
  <si>
    <t>Működési célú</t>
  </si>
  <si>
    <t>Felhalmozási célú</t>
  </si>
  <si>
    <t>Pénzmaradvány összesen</t>
  </si>
  <si>
    <t>Feladattal terhelt pénzmaradvány</t>
  </si>
  <si>
    <t>011130 - Önkormányzatok és önkormányzati hivatalok jogalkotó és ált. igazgatási tev.</t>
  </si>
  <si>
    <t>082044 Könyvtári Szolgáltatások</t>
  </si>
  <si>
    <t>091110 Óvodai nevelés, ellátás szakmai feladatai 096015 Gyermekétkeztetés köznevelési intézményben</t>
  </si>
  <si>
    <t>066020 - Város-, községgazdálkodási egyéb szolgáltatások</t>
  </si>
  <si>
    <t>107052 - Házi segítségnyújtás</t>
  </si>
  <si>
    <t>14. melléklet a …...........) önkormányzati rendelethez</t>
  </si>
  <si>
    <t xml:space="preserve">ELŐIRÁNYZAT-FELHASZNÁLÁSI ÜTEMTERV 2022. ÉVRE </t>
  </si>
  <si>
    <t>15. melléklet a …........ önkormányzati rendelethez</t>
  </si>
  <si>
    <t>K1-K8. Költségvetési kiadások összesen</t>
  </si>
  <si>
    <t>B1-B7. költségvetési bevételek összesen</t>
  </si>
  <si>
    <t>1. melléklet a ………….. önkormányzati ren+A1:J16delethez</t>
  </si>
  <si>
    <t>B115</t>
  </si>
  <si>
    <t>Működési célú költségvetési támogatások és kiegészítő támogatások</t>
  </si>
  <si>
    <t>Magyar Falu program több tárgyi eszköz beszerzés</t>
  </si>
  <si>
    <t>Magyar Falu program óvoda tornaterem, játszótér</t>
  </si>
  <si>
    <t>Bölcsőde épület beruházás</t>
  </si>
  <si>
    <t>Normatív finanszírozés Szoc keretből</t>
  </si>
  <si>
    <t>Képviselő testület által elfogadott projektekre jutó önerő</t>
  </si>
  <si>
    <t>104042 Család- és gyermekjóléti Szolgálat</t>
  </si>
  <si>
    <t>064010 - Közvilágítás</t>
  </si>
  <si>
    <t>013350 - Bölcsőde</t>
  </si>
  <si>
    <t>013350 - Magyar Falu Program</t>
  </si>
  <si>
    <t>Fizetendő áfa</t>
  </si>
  <si>
    <t>013350 - Projektek önrésze</t>
  </si>
  <si>
    <t xml:space="preserve"> 13 melléklet a .../2022. (...) önkormányzati rendelethez</t>
  </si>
  <si>
    <t>K355</t>
  </si>
  <si>
    <t>Egyéb dologi kiadások</t>
  </si>
  <si>
    <t>47</t>
  </si>
  <si>
    <t>48</t>
  </si>
  <si>
    <t>49</t>
  </si>
  <si>
    <t>50</t>
  </si>
  <si>
    <t>Gazdálkodási célú tartalék</t>
  </si>
  <si>
    <t>KT</t>
  </si>
  <si>
    <t>Külterületi helyi utak fejlesztése VP6-7..1.-7.4.1.2.-16 Szúnyogos)</t>
  </si>
  <si>
    <t>Gazdálkodási célú tartalék (Tagi kölcsön)</t>
  </si>
  <si>
    <t>Gazdálkodási célú tartalék (Ingatlan értékesítés)</t>
  </si>
  <si>
    <t>Feladattal nem terhelt pénzmaradvány</t>
  </si>
  <si>
    <t>439/2021 (XII.16.) önk hat Hírös Modul (Óvoda bővítés kiviteli terv)</t>
  </si>
  <si>
    <t>440/2021. (XII.16.) Pogány és Tsa építési anyag (járdaépítés)</t>
  </si>
  <si>
    <t>Ingatlanok értékesítéséből befolyt összeg</t>
  </si>
  <si>
    <t>Működési célú tartalék (Bölcsőde)</t>
  </si>
  <si>
    <t>Gazdálkodási célú tartalék (Jókai u.; Árokásó kanál)</t>
  </si>
</sst>
</file>

<file path=xl/styles.xml><?xml version="1.0" encoding="utf-8"?>
<styleSheet xmlns="http://schemas.openxmlformats.org/spreadsheetml/2006/main">
  <numFmts count="3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_-;\-* #,##0_-;_-* &quot;-&quot;_-;_-@_-"/>
    <numFmt numFmtId="170" formatCode="_-* #,##0.00\ &quot;Ft&quot;_-;\-* #,##0.00\ &quot;Ft&quot;_-;_-* &quot;-&quot;??\ &quot;Ft&quot;_-;_-@_-"/>
    <numFmt numFmtId="171" formatCode="_-* #,##0.00_-;\-* #,##0.00_-;_-* &quot;-&quot;??_-;_-@_-"/>
    <numFmt numFmtId="172" formatCode="_-* #,##0\ _F_t_-;\-* #,##0\ _F_t_-;_-* &quot;-&quot;\ _F_t_-;_-@_-"/>
    <numFmt numFmtId="173" formatCode="_-* #,##0.00\ _F_t_-;\-* #,##0.00\ _F_t_-;_-* &quot;-&quot;??\ _F_t_-;_-@_-"/>
    <numFmt numFmtId="174" formatCode="#,##0\ &quot;Ft&quot;"/>
    <numFmt numFmtId="175" formatCode="#,##0\ _F_t"/>
    <numFmt numFmtId="176" formatCode="#,##0_ ;[Red]\-#,##0\ "/>
    <numFmt numFmtId="177" formatCode="_-* #,##0\ _F_t_-;\-* #,##0\ _F_t_-;_-* &quot;-&quot;??\ _F_t_-;_-@_-"/>
    <numFmt numFmtId="178" formatCode="_-* #,##0\ &quot;Ft&quot;_-;\-* #,##0\ &quot;Ft&quot;_-;_-* &quot;-&quot;??\ &quot;Ft&quot;_-;_-@_-"/>
    <numFmt numFmtId="179" formatCode="0.0000"/>
    <numFmt numFmtId="180" formatCode="0.000"/>
    <numFmt numFmtId="181" formatCode="0.0"/>
    <numFmt numFmtId="182" formatCode="_-* #,##0.0\ &quot;Ft&quot;_-;\-* #,##0.0\ &quot;Ft&quot;_-;_-* &quot;-&quot;??\ &quot;Ft&quot;_-;_-@_-"/>
    <numFmt numFmtId="183" formatCode="#,##0_ ;\-#,##0\ "/>
    <numFmt numFmtId="184" formatCode="[$-40E]yyyy\.\ mmmm\ d\.\,\ dddd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  <numFmt numFmtId="189" formatCode="###\ ###\ ###\ ###\ ##0.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color indexed="63"/>
      <name val="Arial"/>
      <family val="2"/>
    </font>
    <font>
      <sz val="10"/>
      <name val="Arial CE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3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63"/>
      <name val="Times New Roman"/>
      <family val="1"/>
    </font>
    <font>
      <sz val="11"/>
      <name val="Calibri"/>
      <family val="2"/>
    </font>
    <font>
      <sz val="10"/>
      <color indexed="17"/>
      <name val="Times New Roman"/>
      <family val="1"/>
    </font>
    <font>
      <b/>
      <sz val="11"/>
      <name val="Calibri"/>
      <family val="2"/>
    </font>
    <font>
      <b/>
      <u val="singleAccounting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1"/>
      <color rgb="FF7030A0"/>
      <name val="Calibri"/>
      <family val="2"/>
    </font>
    <font>
      <sz val="10"/>
      <color rgb="FF474747"/>
      <name val="Times New Roman"/>
      <family val="1"/>
    </font>
    <font>
      <sz val="10"/>
      <color rgb="FF00B05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/>
      <right style="hair">
        <color indexed="8"/>
      </right>
      <top style="hair">
        <color indexed="8"/>
      </top>
      <bottom/>
    </border>
    <border>
      <left/>
      <right style="hair"/>
      <top style="hair"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>
        <color indexed="63"/>
      </bottom>
    </border>
    <border>
      <left/>
      <right/>
      <top>
        <color indexed="63"/>
      </top>
      <bottom style="medium"/>
    </border>
    <border>
      <left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>
        <color indexed="63"/>
      </right>
      <top style="thin"/>
      <bottom style="medium"/>
    </border>
    <border>
      <left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double"/>
    </border>
    <border>
      <left/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7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8" borderId="7" applyNumberFormat="0" applyFont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" fillId="0" borderId="0">
      <alignment/>
      <protection/>
    </xf>
    <xf numFmtId="0" fontId="68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6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96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5" fillId="0" borderId="10" xfId="56" applyNumberFormat="1" applyFont="1" applyFill="1" applyBorder="1" applyAlignment="1" quotePrefix="1">
      <alignment horizontal="center" vertical="center"/>
      <protection/>
    </xf>
    <xf numFmtId="0" fontId="5" fillId="0" borderId="10" xfId="56" applyFont="1" applyFill="1" applyBorder="1" applyAlignment="1">
      <alignment vertical="center" wrapText="1"/>
      <protection/>
    </xf>
    <xf numFmtId="0" fontId="5" fillId="0" borderId="10" xfId="56" applyFont="1" applyFill="1" applyBorder="1" applyAlignment="1">
      <alignment horizontal="left" vertical="center"/>
      <protection/>
    </xf>
    <xf numFmtId="3" fontId="5" fillId="0" borderId="10" xfId="56" applyNumberFormat="1" applyFont="1" applyFill="1" applyBorder="1" applyAlignment="1">
      <alignment horizontal="right" vertical="center"/>
      <protection/>
    </xf>
    <xf numFmtId="0" fontId="73" fillId="0" borderId="10" xfId="0" applyFont="1" applyBorder="1" applyAlignment="1">
      <alignment/>
    </xf>
    <xf numFmtId="0" fontId="5" fillId="0" borderId="10" xfId="56" applyFont="1" applyFill="1" applyBorder="1" applyAlignment="1">
      <alignment horizontal="left" vertical="center" wrapText="1"/>
      <protection/>
    </xf>
    <xf numFmtId="3" fontId="6" fillId="0" borderId="10" xfId="58" applyNumberFormat="1" applyFont="1" applyFill="1" applyBorder="1" applyAlignment="1">
      <alignment horizontal="right" vertical="center" wrapText="1"/>
      <protection/>
    </xf>
    <xf numFmtId="0" fontId="73" fillId="0" borderId="10" xfId="0" applyFont="1" applyFill="1" applyBorder="1" applyAlignment="1">
      <alignment/>
    </xf>
    <xf numFmtId="49" fontId="2" fillId="33" borderId="10" xfId="56" applyNumberFormat="1" applyFont="1" applyFill="1" applyBorder="1" applyAlignment="1" quotePrefix="1">
      <alignment horizontal="center" vertical="center"/>
      <protection/>
    </xf>
    <xf numFmtId="0" fontId="2" fillId="33" borderId="10" xfId="56" applyFont="1" applyFill="1" applyBorder="1" applyAlignment="1">
      <alignment horizontal="left" vertical="center" wrapText="1"/>
      <protection/>
    </xf>
    <xf numFmtId="3" fontId="2" fillId="33" borderId="10" xfId="56" applyNumberFormat="1" applyFont="1" applyFill="1" applyBorder="1" applyAlignment="1">
      <alignment horizontal="right" vertical="center"/>
      <protection/>
    </xf>
    <xf numFmtId="3" fontId="73" fillId="33" borderId="10" xfId="0" applyNumberFormat="1" applyFont="1" applyFill="1" applyBorder="1" applyAlignment="1">
      <alignment/>
    </xf>
    <xf numFmtId="0" fontId="73" fillId="33" borderId="10" xfId="0" applyFont="1" applyFill="1" applyBorder="1" applyAlignment="1">
      <alignment/>
    </xf>
    <xf numFmtId="3" fontId="4" fillId="33" borderId="10" xfId="58" applyNumberFormat="1" applyFont="1" applyFill="1" applyBorder="1" applyAlignment="1">
      <alignment horizontal="righ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3" fontId="6" fillId="0" borderId="10" xfId="56" applyNumberFormat="1" applyFont="1" applyFill="1" applyBorder="1" applyAlignment="1">
      <alignment horizontal="right" vertical="center"/>
      <protection/>
    </xf>
    <xf numFmtId="0" fontId="73" fillId="0" borderId="10" xfId="56" applyFont="1" applyFill="1" applyBorder="1" applyAlignment="1">
      <alignment horizontal="left" vertical="center" wrapText="1"/>
      <protection/>
    </xf>
    <xf numFmtId="0" fontId="2" fillId="0" borderId="10" xfId="56" applyFont="1" applyFill="1" applyBorder="1" applyAlignment="1">
      <alignment horizontal="left" vertical="center"/>
      <protection/>
    </xf>
    <xf numFmtId="0" fontId="2" fillId="33" borderId="10" xfId="56" applyFont="1" applyFill="1" applyBorder="1" applyAlignment="1">
      <alignment horizontal="left" vertical="center"/>
      <protection/>
    </xf>
    <xf numFmtId="11" fontId="2" fillId="33" borderId="10" xfId="56" applyNumberFormat="1" applyFont="1" applyFill="1" applyBorder="1" applyAlignment="1">
      <alignment horizontal="left" vertical="center" wrapText="1"/>
      <protection/>
    </xf>
    <xf numFmtId="11" fontId="5" fillId="34" borderId="10" xfId="56" applyNumberFormat="1" applyFont="1" applyFill="1" applyBorder="1" applyAlignment="1">
      <alignment horizontal="left" vertical="center" wrapText="1"/>
      <protection/>
    </xf>
    <xf numFmtId="3" fontId="6" fillId="34" borderId="10" xfId="58" applyNumberFormat="1" applyFont="1" applyFill="1" applyBorder="1" applyAlignment="1">
      <alignment horizontal="right" vertical="center" wrapText="1"/>
      <protection/>
    </xf>
    <xf numFmtId="3" fontId="73" fillId="0" borderId="10" xfId="0" applyNumberFormat="1" applyFont="1" applyBorder="1" applyAlignment="1">
      <alignment/>
    </xf>
    <xf numFmtId="0" fontId="4" fillId="33" borderId="10" xfId="56" applyFont="1" applyFill="1" applyBorder="1" applyAlignment="1">
      <alignment horizontal="left" vertical="center" wrapText="1"/>
      <protection/>
    </xf>
    <xf numFmtId="49" fontId="2" fillId="0" borderId="11" xfId="56" applyNumberFormat="1" applyFont="1" applyFill="1" applyBorder="1" applyAlignment="1">
      <alignment horizontal="center" vertical="center"/>
      <protection/>
    </xf>
    <xf numFmtId="0" fontId="73" fillId="0" borderId="0" xfId="0" applyFont="1" applyAlignment="1">
      <alignment horizontal="right"/>
    </xf>
    <xf numFmtId="0" fontId="74" fillId="0" borderId="0" xfId="0" applyFont="1" applyFill="1" applyAlignment="1">
      <alignment/>
    </xf>
    <xf numFmtId="0" fontId="73" fillId="0" borderId="0" xfId="0" applyFont="1" applyFill="1" applyAlignment="1">
      <alignment/>
    </xf>
    <xf numFmtId="3" fontId="73" fillId="0" borderId="0" xfId="0" applyNumberFormat="1" applyFont="1" applyFill="1" applyAlignment="1">
      <alignment/>
    </xf>
    <xf numFmtId="49" fontId="73" fillId="0" borderId="0" xfId="0" applyNumberFormat="1" applyFont="1" applyAlignment="1">
      <alignment/>
    </xf>
    <xf numFmtId="49" fontId="2" fillId="33" borderId="12" xfId="56" applyNumberFormat="1" applyFont="1" applyFill="1" applyBorder="1" applyAlignment="1" quotePrefix="1">
      <alignment horizontal="center" vertical="center"/>
      <protection/>
    </xf>
    <xf numFmtId="0" fontId="4" fillId="33" borderId="13" xfId="56" applyFont="1" applyFill="1" applyBorder="1" applyAlignment="1">
      <alignment horizontal="left" vertical="center" wrapText="1"/>
      <protection/>
    </xf>
    <xf numFmtId="3" fontId="4" fillId="33" borderId="13" xfId="58" applyNumberFormat="1" applyFont="1" applyFill="1" applyBorder="1" applyAlignment="1">
      <alignment horizontal="right" vertical="center" wrapText="1"/>
      <protection/>
    </xf>
    <xf numFmtId="0" fontId="75" fillId="0" borderId="0" xfId="0" applyFont="1" applyAlignment="1">
      <alignment/>
    </xf>
    <xf numFmtId="0" fontId="76" fillId="33" borderId="10" xfId="56" applyFont="1" applyFill="1" applyBorder="1" applyAlignment="1">
      <alignment horizontal="left" vertical="center" wrapText="1"/>
      <protection/>
    </xf>
    <xf numFmtId="49" fontId="2" fillId="0" borderId="10" xfId="56" applyNumberFormat="1" applyFont="1" applyFill="1" applyBorder="1" applyAlignment="1" quotePrefix="1">
      <alignment horizontal="center" vertical="center"/>
      <protection/>
    </xf>
    <xf numFmtId="0" fontId="5" fillId="0" borderId="12" xfId="56" applyFont="1" applyFill="1" applyBorder="1" applyAlignment="1">
      <alignment horizontal="left" vertical="center"/>
      <protection/>
    </xf>
    <xf numFmtId="0" fontId="5" fillId="0" borderId="13" xfId="56" applyFont="1" applyFill="1" applyBorder="1" applyAlignment="1">
      <alignment horizontal="left" vertical="center"/>
      <protection/>
    </xf>
    <xf numFmtId="0" fontId="5" fillId="0" borderId="14" xfId="56" applyFont="1" applyFill="1" applyBorder="1" applyAlignment="1">
      <alignment horizontal="left" vertical="center"/>
      <protection/>
    </xf>
    <xf numFmtId="49" fontId="75" fillId="0" borderId="0" xfId="0" applyNumberFormat="1" applyFont="1" applyAlignment="1">
      <alignment/>
    </xf>
    <xf numFmtId="3" fontId="4" fillId="0" borderId="10" xfId="58" applyNumberFormat="1" applyFont="1" applyFill="1" applyBorder="1" applyAlignment="1">
      <alignment horizontal="right" vertical="center" wrapText="1"/>
      <protection/>
    </xf>
    <xf numFmtId="0" fontId="76" fillId="33" borderId="10" xfId="0" applyFont="1" applyFill="1" applyBorder="1" applyAlignment="1">
      <alignment/>
    </xf>
    <xf numFmtId="3" fontId="76" fillId="33" borderId="0" xfId="0" applyNumberFormat="1" applyFont="1" applyFill="1" applyAlignment="1">
      <alignment horizontal="right"/>
    </xf>
    <xf numFmtId="3" fontId="76" fillId="33" borderId="10" xfId="0" applyNumberFormat="1" applyFont="1" applyFill="1" applyBorder="1" applyAlignment="1">
      <alignment horizontal="right"/>
    </xf>
    <xf numFmtId="3" fontId="73" fillId="0" borderId="10" xfId="56" applyNumberFormat="1" applyFont="1" applyFill="1" applyBorder="1" applyAlignment="1">
      <alignment horizontal="right" vertical="center"/>
      <protection/>
    </xf>
    <xf numFmtId="174" fontId="6" fillId="0" borderId="14" xfId="0" applyNumberFormat="1" applyFont="1" applyBorder="1" applyAlignment="1">
      <alignment/>
    </xf>
    <xf numFmtId="174" fontId="73" fillId="0" borderId="10" xfId="0" applyNumberFormat="1" applyFont="1" applyBorder="1" applyAlignment="1">
      <alignment/>
    </xf>
    <xf numFmtId="3" fontId="4" fillId="34" borderId="10" xfId="58" applyNumberFormat="1" applyFont="1" applyFill="1" applyBorder="1" applyAlignment="1">
      <alignment horizontal="right" vertical="center" wrapText="1"/>
      <protection/>
    </xf>
    <xf numFmtId="174" fontId="73" fillId="0" borderId="10" xfId="0" applyNumberFormat="1" applyFont="1" applyBorder="1" applyAlignment="1">
      <alignment horizontal="right" vertical="center"/>
    </xf>
    <xf numFmtId="0" fontId="76" fillId="33" borderId="0" xfId="0" applyFont="1" applyFill="1" applyAlignment="1">
      <alignment/>
    </xf>
    <xf numFmtId="0" fontId="73" fillId="33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3" fontId="4" fillId="33" borderId="10" xfId="58" applyNumberFormat="1" applyFont="1" applyFill="1" applyBorder="1" applyAlignment="1">
      <alignment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4" fillId="33" borderId="13" xfId="58" applyNumberFormat="1" applyFont="1" applyFill="1" applyBorder="1" applyAlignment="1">
      <alignment wrapText="1"/>
      <protection/>
    </xf>
    <xf numFmtId="0" fontId="0" fillId="0" borderId="10" xfId="0" applyBorder="1" applyAlignment="1">
      <alignment/>
    </xf>
    <xf numFmtId="174" fontId="0" fillId="0" borderId="0" xfId="0" applyNumberFormat="1" applyAlignment="1">
      <alignment/>
    </xf>
    <xf numFmtId="0" fontId="2" fillId="33" borderId="10" xfId="56" applyFont="1" applyFill="1" applyBorder="1" applyAlignment="1">
      <alignment horizontal="left" vertical="center"/>
      <protection/>
    </xf>
    <xf numFmtId="3" fontId="4" fillId="35" borderId="10" xfId="58" applyNumberFormat="1" applyFont="1" applyFill="1" applyBorder="1" applyAlignment="1">
      <alignment horizontal="right" vertical="center" wrapText="1"/>
      <protection/>
    </xf>
    <xf numFmtId="49" fontId="2" fillId="35" borderId="10" xfId="56" applyNumberFormat="1" applyFont="1" applyFill="1" applyBorder="1" applyAlignment="1" quotePrefix="1">
      <alignment horizontal="center" vertical="center"/>
      <protection/>
    </xf>
    <xf numFmtId="0" fontId="77" fillId="33" borderId="10" xfId="0" applyFont="1" applyFill="1" applyBorder="1" applyAlignment="1">
      <alignment horizontal="right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3" fontId="5" fillId="0" borderId="12" xfId="56" applyNumberFormat="1" applyFont="1" applyFill="1" applyBorder="1" applyAlignment="1">
      <alignment horizontal="right"/>
      <protection/>
    </xf>
    <xf numFmtId="3" fontId="5" fillId="0" borderId="10" xfId="56" applyNumberFormat="1" applyFont="1" applyFill="1" applyBorder="1" applyAlignment="1">
      <alignment horizontal="right"/>
      <protection/>
    </xf>
    <xf numFmtId="0" fontId="73" fillId="0" borderId="10" xfId="0" applyFont="1" applyBorder="1" applyAlignment="1">
      <alignment/>
    </xf>
    <xf numFmtId="3" fontId="6" fillId="0" borderId="12" xfId="58" applyNumberFormat="1" applyFont="1" applyFill="1" applyBorder="1" applyAlignment="1">
      <alignment horizontal="right" wrapText="1"/>
      <protection/>
    </xf>
    <xf numFmtId="0" fontId="73" fillId="0" borderId="10" xfId="0" applyFont="1" applyFill="1" applyBorder="1" applyAlignment="1">
      <alignment/>
    </xf>
    <xf numFmtId="3" fontId="2" fillId="33" borderId="12" xfId="56" applyNumberFormat="1" applyFont="1" applyFill="1" applyBorder="1" applyAlignment="1">
      <alignment horizontal="right"/>
      <protection/>
    </xf>
    <xf numFmtId="3" fontId="2" fillId="33" borderId="10" xfId="56" applyNumberFormat="1" applyFont="1" applyFill="1" applyBorder="1" applyAlignment="1">
      <alignment horizontal="right"/>
      <protection/>
    </xf>
    <xf numFmtId="3" fontId="4" fillId="33" borderId="12" xfId="56" applyNumberFormat="1" applyFont="1" applyFill="1" applyBorder="1" applyAlignment="1">
      <alignment horizontal="right"/>
      <protection/>
    </xf>
    <xf numFmtId="3" fontId="4" fillId="33" borderId="10" xfId="58" applyNumberFormat="1" applyFont="1" applyFill="1" applyBorder="1" applyAlignment="1">
      <alignment horizontal="right" wrapText="1"/>
      <protection/>
    </xf>
    <xf numFmtId="3" fontId="6" fillId="0" borderId="10" xfId="0" applyNumberFormat="1" applyFont="1" applyBorder="1" applyAlignment="1">
      <alignment horizontal="right"/>
    </xf>
    <xf numFmtId="175" fontId="78" fillId="0" borderId="10" xfId="0" applyNumberFormat="1" applyFont="1" applyBorder="1" applyAlignment="1">
      <alignment horizontal="right"/>
    </xf>
    <xf numFmtId="3" fontId="6" fillId="0" borderId="10" xfId="58" applyNumberFormat="1" applyFont="1" applyFill="1" applyBorder="1" applyAlignment="1">
      <alignment horizontal="right" wrapText="1"/>
      <protection/>
    </xf>
    <xf numFmtId="3" fontId="4" fillId="33" borderId="12" xfId="58" applyNumberFormat="1" applyFont="1" applyFill="1" applyBorder="1" applyAlignment="1">
      <alignment horizontal="right" wrapText="1"/>
      <protection/>
    </xf>
    <xf numFmtId="3" fontId="4" fillId="0" borderId="12" xfId="58" applyNumberFormat="1" applyFont="1" applyFill="1" applyBorder="1" applyAlignment="1">
      <alignment horizontal="right" wrapText="1"/>
      <protection/>
    </xf>
    <xf numFmtId="3" fontId="4" fillId="0" borderId="10" xfId="58" applyNumberFormat="1" applyFont="1" applyFill="1" applyBorder="1" applyAlignment="1">
      <alignment horizontal="right" wrapText="1"/>
      <protection/>
    </xf>
    <xf numFmtId="0" fontId="0" fillId="0" borderId="10" xfId="0" applyBorder="1" applyAlignment="1">
      <alignment/>
    </xf>
    <xf numFmtId="3" fontId="73" fillId="0" borderId="10" xfId="0" applyNumberFormat="1" applyFont="1" applyBorder="1" applyAlignment="1">
      <alignment/>
    </xf>
    <xf numFmtId="0" fontId="73" fillId="33" borderId="10" xfId="0" applyFont="1" applyFill="1" applyBorder="1" applyAlignment="1">
      <alignment/>
    </xf>
    <xf numFmtId="3" fontId="4" fillId="35" borderId="10" xfId="0" applyNumberFormat="1" applyFont="1" applyFill="1" applyBorder="1" applyAlignment="1">
      <alignment horizontal="right"/>
    </xf>
    <xf numFmtId="3" fontId="6" fillId="35" borderId="10" xfId="0" applyNumberFormat="1" applyFont="1" applyFill="1" applyBorder="1" applyAlignment="1">
      <alignment horizontal="right"/>
    </xf>
    <xf numFmtId="0" fontId="74" fillId="0" borderId="0" xfId="0" applyFont="1" applyFill="1" applyAlignment="1">
      <alignment/>
    </xf>
    <xf numFmtId="0" fontId="4" fillId="33" borderId="12" xfId="56" applyFont="1" applyFill="1" applyBorder="1" applyAlignment="1">
      <alignment horizontal="center" wrapText="1"/>
      <protection/>
    </xf>
    <xf numFmtId="0" fontId="4" fillId="33" borderId="10" xfId="56" applyFont="1" applyFill="1" applyBorder="1" applyAlignment="1">
      <alignment horizontal="center" wrapText="1"/>
      <protection/>
    </xf>
    <xf numFmtId="0" fontId="73" fillId="0" borderId="0" xfId="0" applyFont="1" applyFill="1" applyAlignment="1">
      <alignment/>
    </xf>
    <xf numFmtId="3" fontId="4" fillId="33" borderId="13" xfId="58" applyNumberFormat="1" applyFont="1" applyFill="1" applyBorder="1" applyAlignment="1">
      <alignment horizontal="right" wrapText="1"/>
      <protection/>
    </xf>
    <xf numFmtId="176" fontId="6" fillId="0" borderId="0" xfId="0" applyNumberFormat="1" applyFont="1" applyAlignment="1" applyProtection="1">
      <alignment/>
      <protection locked="0"/>
    </xf>
    <xf numFmtId="177" fontId="6" fillId="0" borderId="0" xfId="46" applyNumberFormat="1" applyFont="1" applyAlignment="1" applyProtection="1">
      <alignment/>
      <protection locked="0"/>
    </xf>
    <xf numFmtId="0" fontId="73" fillId="0" borderId="15" xfId="0" applyFont="1" applyBorder="1" applyAlignment="1">
      <alignment vertical="center" wrapText="1"/>
    </xf>
    <xf numFmtId="177" fontId="73" fillId="0" borderId="16" xfId="46" applyNumberFormat="1" applyFont="1" applyBorder="1" applyAlignment="1">
      <alignment vertical="center" wrapText="1"/>
    </xf>
    <xf numFmtId="0" fontId="76" fillId="36" borderId="17" xfId="0" applyFont="1" applyFill="1" applyBorder="1" applyAlignment="1">
      <alignment vertical="center" wrapText="1"/>
    </xf>
    <xf numFmtId="177" fontId="76" fillId="36" borderId="18" xfId="46" applyNumberFormat="1" applyFont="1" applyFill="1" applyBorder="1" applyAlignment="1">
      <alignment vertical="center" wrapText="1"/>
    </xf>
    <xf numFmtId="0" fontId="76" fillId="0" borderId="17" xfId="0" applyFont="1" applyBorder="1" applyAlignment="1">
      <alignment horizontal="center" vertical="center" wrapText="1"/>
    </xf>
    <xf numFmtId="177" fontId="76" fillId="0" borderId="18" xfId="46" applyNumberFormat="1" applyFont="1" applyBorder="1" applyAlignment="1">
      <alignment horizontal="center" vertical="center" wrapText="1"/>
    </xf>
    <xf numFmtId="176" fontId="6" fillId="0" borderId="0" xfId="0" applyNumberFormat="1" applyFont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 horizontal="right" wrapText="1"/>
      <protection locked="0"/>
    </xf>
    <xf numFmtId="177" fontId="6" fillId="0" borderId="0" xfId="46" applyNumberFormat="1" applyFont="1" applyAlignment="1" applyProtection="1">
      <alignment horizontal="right"/>
      <protection locked="0"/>
    </xf>
    <xf numFmtId="177" fontId="4" fillId="0" borderId="19" xfId="46" applyNumberFormat="1" applyFont="1" applyBorder="1" applyAlignment="1">
      <alignment horizontal="right" vertical="center" wrapText="1"/>
    </xf>
    <xf numFmtId="177" fontId="4" fillId="0" borderId="20" xfId="46" applyNumberFormat="1" applyFont="1" applyBorder="1" applyAlignment="1">
      <alignment horizontal="right" vertical="center" wrapText="1"/>
    </xf>
    <xf numFmtId="177" fontId="4" fillId="0" borderId="21" xfId="46" applyNumberFormat="1" applyFont="1" applyBorder="1" applyAlignment="1">
      <alignment horizontal="right" vertical="center" wrapText="1"/>
    </xf>
    <xf numFmtId="177" fontId="6" fillId="0" borderId="22" xfId="46" applyNumberFormat="1" applyFont="1" applyBorder="1" applyAlignment="1">
      <alignment horizontal="right" vertical="center" wrapText="1"/>
    </xf>
    <xf numFmtId="177" fontId="6" fillId="0" borderId="23" xfId="46" applyNumberFormat="1" applyFont="1" applyBorder="1" applyAlignment="1">
      <alignment horizontal="right" vertical="center" wrapText="1"/>
    </xf>
    <xf numFmtId="177" fontId="6" fillId="0" borderId="24" xfId="46" applyNumberFormat="1" applyFont="1" applyBorder="1" applyAlignment="1">
      <alignment horizontal="right" vertical="center" wrapText="1"/>
    </xf>
    <xf numFmtId="177" fontId="6" fillId="0" borderId="25" xfId="46" applyNumberFormat="1" applyFont="1" applyBorder="1" applyAlignment="1">
      <alignment horizontal="right" vertical="center" wrapText="1"/>
    </xf>
    <xf numFmtId="177" fontId="6" fillId="0" borderId="10" xfId="46" applyNumberFormat="1" applyFont="1" applyBorder="1" applyAlignment="1">
      <alignment horizontal="right" vertical="center" wrapText="1"/>
    </xf>
    <xf numFmtId="177" fontId="6" fillId="0" borderId="26" xfId="46" applyNumberFormat="1" applyFont="1" applyBorder="1" applyAlignment="1">
      <alignment horizontal="right" vertical="center" wrapText="1"/>
    </xf>
    <xf numFmtId="177" fontId="6" fillId="0" borderId="27" xfId="46" applyNumberFormat="1" applyFont="1" applyBorder="1" applyAlignment="1">
      <alignment horizontal="right" vertical="center" wrapText="1"/>
    </xf>
    <xf numFmtId="177" fontId="6" fillId="0" borderId="28" xfId="46" applyNumberFormat="1" applyFont="1" applyBorder="1" applyAlignment="1">
      <alignment horizontal="right" vertical="center" wrapText="1"/>
    </xf>
    <xf numFmtId="177" fontId="6" fillId="0" borderId="29" xfId="46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172" fontId="4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 wrapText="1"/>
    </xf>
    <xf numFmtId="172" fontId="14" fillId="0" borderId="27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73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0" fontId="79" fillId="0" borderId="0" xfId="0" applyFont="1" applyAlignment="1">
      <alignment/>
    </xf>
    <xf numFmtId="0" fontId="6" fillId="0" borderId="0" xfId="0" applyFont="1" applyAlignment="1">
      <alignment/>
    </xf>
    <xf numFmtId="172" fontId="6" fillId="36" borderId="10" xfId="0" applyNumberFormat="1" applyFont="1" applyFill="1" applyBorder="1" applyAlignment="1">
      <alignment/>
    </xf>
    <xf numFmtId="172" fontId="4" fillId="36" borderId="10" xfId="0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172" fontId="6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72" fontId="4" fillId="37" borderId="10" xfId="0" applyNumberFormat="1" applyFont="1" applyFill="1" applyBorder="1" applyAlignment="1">
      <alignment/>
    </xf>
    <xf numFmtId="172" fontId="4" fillId="37" borderId="22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3" fontId="6" fillId="0" borderId="0" xfId="46" applyFont="1" applyAlignment="1" applyProtection="1">
      <alignment/>
      <protection locked="0"/>
    </xf>
    <xf numFmtId="173" fontId="6" fillId="0" borderId="0" xfId="46" applyFont="1" applyAlignment="1" applyProtection="1">
      <alignment wrapText="1"/>
      <protection locked="0"/>
    </xf>
    <xf numFmtId="173" fontId="76" fillId="0" borderId="30" xfId="46" applyFont="1" applyBorder="1" applyAlignment="1">
      <alignment horizontal="center" vertical="center" wrapText="1"/>
    </xf>
    <xf numFmtId="173" fontId="76" fillId="0" borderId="31" xfId="46" applyFont="1" applyBorder="1" applyAlignment="1">
      <alignment horizontal="center" vertical="center" wrapText="1"/>
    </xf>
    <xf numFmtId="173" fontId="76" fillId="36" borderId="31" xfId="46" applyFont="1" applyFill="1" applyBorder="1" applyAlignment="1">
      <alignment horizontal="center" vertical="center" wrapText="1"/>
    </xf>
    <xf numFmtId="173" fontId="76" fillId="33" borderId="31" xfId="46" applyFont="1" applyFill="1" applyBorder="1" applyAlignment="1">
      <alignment horizontal="center" vertical="center" wrapText="1"/>
    </xf>
    <xf numFmtId="0" fontId="73" fillId="0" borderId="32" xfId="0" applyFont="1" applyBorder="1" applyAlignment="1">
      <alignment vertical="center" wrapText="1"/>
    </xf>
    <xf numFmtId="173" fontId="73" fillId="0" borderId="24" xfId="46" applyFont="1" applyBorder="1" applyAlignment="1">
      <alignment vertical="center" wrapText="1"/>
    </xf>
    <xf numFmtId="173" fontId="73" fillId="0" borderId="16" xfId="46" applyFont="1" applyBorder="1" applyAlignment="1">
      <alignment vertical="center" wrapText="1"/>
    </xf>
    <xf numFmtId="173" fontId="73" fillId="36" borderId="16" xfId="46" applyFont="1" applyFill="1" applyBorder="1" applyAlignment="1">
      <alignment vertical="center" wrapText="1"/>
    </xf>
    <xf numFmtId="173" fontId="73" fillId="33" borderId="16" xfId="46" applyFont="1" applyFill="1" applyBorder="1" applyAlignment="1">
      <alignment vertical="center" wrapText="1"/>
    </xf>
    <xf numFmtId="0" fontId="80" fillId="0" borderId="32" xfId="0" applyFont="1" applyBorder="1" applyAlignment="1">
      <alignment vertical="center" wrapText="1"/>
    </xf>
    <xf numFmtId="173" fontId="80" fillId="0" borderId="24" xfId="46" applyFont="1" applyBorder="1" applyAlignment="1">
      <alignment vertical="center" wrapText="1"/>
    </xf>
    <xf numFmtId="173" fontId="80" fillId="0" borderId="16" xfId="46" applyFont="1" applyBorder="1" applyAlignment="1">
      <alignment vertical="center" wrapText="1"/>
    </xf>
    <xf numFmtId="173" fontId="80" fillId="36" borderId="16" xfId="46" applyFont="1" applyFill="1" applyBorder="1" applyAlignment="1">
      <alignment vertical="center" wrapText="1"/>
    </xf>
    <xf numFmtId="173" fontId="80" fillId="33" borderId="16" xfId="46" applyFont="1" applyFill="1" applyBorder="1" applyAlignment="1">
      <alignment vertical="center" wrapText="1"/>
    </xf>
    <xf numFmtId="0" fontId="73" fillId="0" borderId="33" xfId="0" applyFont="1" applyBorder="1" applyAlignment="1">
      <alignment vertical="center" wrapText="1"/>
    </xf>
    <xf numFmtId="173" fontId="73" fillId="0" borderId="25" xfId="46" applyFont="1" applyBorder="1" applyAlignment="1">
      <alignment vertical="center" wrapText="1"/>
    </xf>
    <xf numFmtId="173" fontId="73" fillId="0" borderId="34" xfId="46" applyFont="1" applyBorder="1" applyAlignment="1">
      <alignment vertical="center" wrapText="1"/>
    </xf>
    <xf numFmtId="173" fontId="73" fillId="36" borderId="34" xfId="46" applyFont="1" applyFill="1" applyBorder="1" applyAlignment="1">
      <alignment vertical="center" wrapText="1"/>
    </xf>
    <xf numFmtId="0" fontId="73" fillId="0" borderId="32" xfId="0" applyFont="1" applyBorder="1" applyAlignment="1">
      <alignment vertical="center"/>
    </xf>
    <xf numFmtId="0" fontId="76" fillId="36" borderId="35" xfId="0" applyFont="1" applyFill="1" applyBorder="1" applyAlignment="1">
      <alignment vertical="center" wrapText="1"/>
    </xf>
    <xf numFmtId="173" fontId="76" fillId="36" borderId="36" xfId="46" applyFont="1" applyFill="1" applyBorder="1" applyAlignment="1">
      <alignment vertical="center" wrapText="1"/>
    </xf>
    <xf numFmtId="173" fontId="76" fillId="36" borderId="18" xfId="46" applyFont="1" applyFill="1" applyBorder="1" applyAlignment="1">
      <alignment vertical="center" wrapText="1"/>
    </xf>
    <xf numFmtId="173" fontId="76" fillId="33" borderId="18" xfId="46" applyFont="1" applyFill="1" applyBorder="1" applyAlignment="1">
      <alignment vertical="center" wrapText="1"/>
    </xf>
    <xf numFmtId="172" fontId="14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3" fillId="37" borderId="37" xfId="0" applyFont="1" applyFill="1" applyBorder="1" applyAlignment="1">
      <alignment/>
    </xf>
    <xf numFmtId="172" fontId="13" fillId="37" borderId="37" xfId="0" applyNumberFormat="1" applyFont="1" applyFill="1" applyBorder="1" applyAlignment="1">
      <alignment horizontal="center"/>
    </xf>
    <xf numFmtId="172" fontId="13" fillId="37" borderId="38" xfId="0" applyNumberFormat="1" applyFont="1" applyFill="1" applyBorder="1" applyAlignment="1">
      <alignment horizontal="center"/>
    </xf>
    <xf numFmtId="172" fontId="13" fillId="37" borderId="10" xfId="0" applyNumberFormat="1" applyFont="1" applyFill="1" applyBorder="1" applyAlignment="1">
      <alignment horizontal="center"/>
    </xf>
    <xf numFmtId="172" fontId="6" fillId="0" borderId="37" xfId="0" applyNumberFormat="1" applyFont="1" applyBorder="1" applyAlignment="1">
      <alignment/>
    </xf>
    <xf numFmtId="172" fontId="6" fillId="0" borderId="38" xfId="0" applyNumberFormat="1" applyFont="1" applyBorder="1" applyAlignment="1">
      <alignment/>
    </xf>
    <xf numFmtId="172" fontId="6" fillId="37" borderId="37" xfId="0" applyNumberFormat="1" applyFont="1" applyFill="1" applyBorder="1" applyAlignment="1">
      <alignment/>
    </xf>
    <xf numFmtId="172" fontId="4" fillId="37" borderId="37" xfId="0" applyNumberFormat="1" applyFont="1" applyFill="1" applyBorder="1" applyAlignment="1">
      <alignment/>
    </xf>
    <xf numFmtId="0" fontId="6" fillId="0" borderId="37" xfId="0" applyFont="1" applyBorder="1" applyAlignment="1">
      <alignment/>
    </xf>
    <xf numFmtId="0" fontId="4" fillId="37" borderId="37" xfId="0" applyFont="1" applyFill="1" applyBorder="1" applyAlignment="1">
      <alignment/>
    </xf>
    <xf numFmtId="172" fontId="4" fillId="0" borderId="37" xfId="0" applyNumberFormat="1" applyFont="1" applyBorder="1" applyAlignment="1">
      <alignment/>
    </xf>
    <xf numFmtId="172" fontId="4" fillId="0" borderId="38" xfId="0" applyNumberFormat="1" applyFont="1" applyBorder="1" applyAlignment="1">
      <alignment/>
    </xf>
    <xf numFmtId="0" fontId="4" fillId="38" borderId="37" xfId="0" applyFont="1" applyFill="1" applyBorder="1" applyAlignment="1">
      <alignment/>
    </xf>
    <xf numFmtId="172" fontId="4" fillId="38" borderId="37" xfId="0" applyNumberFormat="1" applyFont="1" applyFill="1" applyBorder="1" applyAlignment="1">
      <alignment/>
    </xf>
    <xf numFmtId="172" fontId="4" fillId="38" borderId="38" xfId="0" applyNumberFormat="1" applyFont="1" applyFill="1" applyBorder="1" applyAlignment="1">
      <alignment/>
    </xf>
    <xf numFmtId="172" fontId="4" fillId="38" borderId="10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172" fontId="6" fillId="0" borderId="22" xfId="0" applyNumberFormat="1" applyFont="1" applyBorder="1" applyAlignment="1">
      <alignment/>
    </xf>
    <xf numFmtId="0" fontId="6" fillId="0" borderId="10" xfId="0" applyFont="1" applyBorder="1" applyAlignment="1">
      <alignment/>
    </xf>
    <xf numFmtId="172" fontId="6" fillId="37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/>
    </xf>
    <xf numFmtId="172" fontId="4" fillId="37" borderId="10" xfId="0" applyNumberFormat="1" applyFont="1" applyFill="1" applyBorder="1" applyAlignment="1">
      <alignment/>
    </xf>
    <xf numFmtId="172" fontId="4" fillId="37" borderId="12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2" fontId="6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/>
    </xf>
    <xf numFmtId="172" fontId="13" fillId="39" borderId="3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77" fillId="0" borderId="0" xfId="0" applyFont="1" applyAlignment="1">
      <alignment/>
    </xf>
    <xf numFmtId="0" fontId="81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168" fontId="73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6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right" vertical="center"/>
    </xf>
    <xf numFmtId="172" fontId="6" fillId="0" borderId="40" xfId="0" applyNumberFormat="1" applyFont="1" applyBorder="1" applyAlignment="1">
      <alignment wrapText="1"/>
    </xf>
    <xf numFmtId="172" fontId="6" fillId="0" borderId="41" xfId="0" applyNumberFormat="1" applyFont="1" applyBorder="1" applyAlignment="1">
      <alignment horizontal="center" vertical="center"/>
    </xf>
    <xf numFmtId="172" fontId="4" fillId="0" borderId="39" xfId="0" applyNumberFormat="1" applyFont="1" applyBorder="1" applyAlignment="1">
      <alignment horizontal="right" vertical="center"/>
    </xf>
    <xf numFmtId="172" fontId="6" fillId="0" borderId="40" xfId="0" applyNumberFormat="1" applyFont="1" applyBorder="1" applyAlignment="1">
      <alignment vertical="center"/>
    </xf>
    <xf numFmtId="172" fontId="73" fillId="34" borderId="42" xfId="0" applyNumberFormat="1" applyFont="1" applyFill="1" applyBorder="1" applyAlignment="1">
      <alignment horizontal="center" vertical="center"/>
    </xf>
    <xf numFmtId="172" fontId="73" fillId="34" borderId="40" xfId="0" applyNumberFormat="1" applyFont="1" applyFill="1" applyBorder="1" applyAlignment="1">
      <alignment horizontal="center" vertical="center"/>
    </xf>
    <xf numFmtId="172" fontId="4" fillId="0" borderId="43" xfId="0" applyNumberFormat="1" applyFont="1" applyBorder="1" applyAlignment="1">
      <alignment horizontal="right" vertical="center"/>
    </xf>
    <xf numFmtId="172" fontId="73" fillId="0" borderId="0" xfId="0" applyNumberFormat="1" applyFont="1" applyAlignment="1">
      <alignment horizontal="center" vertical="center"/>
    </xf>
    <xf numFmtId="172" fontId="6" fillId="0" borderId="40" xfId="0" applyNumberFormat="1" applyFont="1" applyBorder="1" applyAlignment="1">
      <alignment vertical="center" wrapText="1"/>
    </xf>
    <xf numFmtId="172" fontId="6" fillId="0" borderId="43" xfId="0" applyNumberFormat="1" applyFont="1" applyBorder="1" applyAlignment="1">
      <alignment horizontal="center" vertical="center"/>
    </xf>
    <xf numFmtId="172" fontId="6" fillId="0" borderId="39" xfId="0" applyNumberFormat="1" applyFont="1" applyBorder="1" applyAlignment="1">
      <alignment horizontal="center" vertical="center"/>
    </xf>
    <xf numFmtId="172" fontId="6" fillId="0" borderId="40" xfId="0" applyNumberFormat="1" applyFont="1" applyBorder="1" applyAlignment="1">
      <alignment/>
    </xf>
    <xf numFmtId="172" fontId="4" fillId="0" borderId="39" xfId="0" applyNumberFormat="1" applyFont="1" applyBorder="1" applyAlignment="1">
      <alignment vertical="center"/>
    </xf>
    <xf numFmtId="172" fontId="4" fillId="0" borderId="39" xfId="0" applyNumberFormat="1" applyFont="1" applyBorder="1" applyAlignment="1">
      <alignment horizontal="center" vertical="center"/>
    </xf>
    <xf numFmtId="172" fontId="6" fillId="0" borderId="39" xfId="0" applyNumberFormat="1" applyFont="1" applyBorder="1" applyAlignment="1">
      <alignment vertical="center"/>
    </xf>
    <xf numFmtId="170" fontId="12" fillId="0" borderId="0" xfId="0" applyNumberFormat="1" applyFont="1" applyAlignment="1">
      <alignment/>
    </xf>
    <xf numFmtId="170" fontId="16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78" fillId="0" borderId="39" xfId="0" applyNumberFormat="1" applyFont="1" applyBorder="1" applyAlignment="1">
      <alignment horizontal="center" vertical="center"/>
    </xf>
    <xf numFmtId="0" fontId="79" fillId="0" borderId="0" xfId="0" applyFont="1" applyAlignment="1">
      <alignment horizontal="justify" vertical="center"/>
    </xf>
    <xf numFmtId="0" fontId="82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83" fillId="0" borderId="0" xfId="0" applyFont="1" applyAlignment="1">
      <alignment/>
    </xf>
    <xf numFmtId="0" fontId="73" fillId="0" borderId="44" xfId="0" applyFont="1" applyBorder="1" applyAlignment="1">
      <alignment horizontal="justify" vertical="center" wrapText="1"/>
    </xf>
    <xf numFmtId="0" fontId="76" fillId="0" borderId="44" xfId="0" applyFont="1" applyBorder="1" applyAlignment="1">
      <alignment horizontal="center" vertical="center" wrapText="1"/>
    </xf>
    <xf numFmtId="0" fontId="73" fillId="0" borderId="44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37" fontId="73" fillId="0" borderId="44" xfId="0" applyNumberFormat="1" applyFont="1" applyBorder="1" applyAlignment="1">
      <alignment horizontal="center" vertical="center" wrapText="1"/>
    </xf>
    <xf numFmtId="0" fontId="73" fillId="0" borderId="44" xfId="0" applyFont="1" applyBorder="1" applyAlignment="1">
      <alignment vertical="center" wrapText="1"/>
    </xf>
    <xf numFmtId="0" fontId="76" fillId="0" borderId="45" xfId="0" applyFont="1" applyBorder="1" applyAlignment="1">
      <alignment vertical="center" wrapText="1"/>
    </xf>
    <xf numFmtId="0" fontId="76" fillId="0" borderId="46" xfId="0" applyFont="1" applyBorder="1" applyAlignment="1">
      <alignment vertical="center" wrapText="1"/>
    </xf>
    <xf numFmtId="0" fontId="76" fillId="0" borderId="47" xfId="0" applyFont="1" applyBorder="1" applyAlignment="1">
      <alignment vertical="center" wrapText="1"/>
    </xf>
    <xf numFmtId="0" fontId="83" fillId="0" borderId="0" xfId="0" applyFont="1" applyAlignment="1">
      <alignment vertical="center"/>
    </xf>
    <xf numFmtId="175" fontId="73" fillId="0" borderId="44" xfId="0" applyNumberFormat="1" applyFont="1" applyBorder="1" applyAlignment="1">
      <alignment horizontal="center" vertical="center" wrapText="1"/>
    </xf>
    <xf numFmtId="0" fontId="19" fillId="0" borderId="0" xfId="59" applyFont="1" applyAlignment="1">
      <alignment vertical="center"/>
      <protection/>
    </xf>
    <xf numFmtId="0" fontId="14" fillId="0" borderId="0" xfId="0" applyFont="1" applyAlignment="1">
      <alignment/>
    </xf>
    <xf numFmtId="0" fontId="13" fillId="0" borderId="0" xfId="59" applyFont="1" applyAlignment="1">
      <alignment vertical="center"/>
      <protection/>
    </xf>
    <xf numFmtId="0" fontId="4" fillId="0" borderId="48" xfId="59" applyFont="1" applyBorder="1" applyAlignment="1">
      <alignment horizontal="center" vertical="center" wrapText="1"/>
      <protection/>
    </xf>
    <xf numFmtId="0" fontId="4" fillId="0" borderId="49" xfId="59" applyFont="1" applyBorder="1" applyAlignment="1">
      <alignment horizontal="center" vertical="center" wrapText="1"/>
      <protection/>
    </xf>
    <xf numFmtId="0" fontId="4" fillId="0" borderId="50" xfId="59" applyFont="1" applyBorder="1" applyAlignment="1">
      <alignment horizontal="center" vertical="center" wrapText="1"/>
      <protection/>
    </xf>
    <xf numFmtId="0" fontId="4" fillId="0" borderId="37" xfId="59" applyFont="1" applyBorder="1" applyAlignment="1">
      <alignment horizontal="center" vertical="center" wrapText="1"/>
      <protection/>
    </xf>
    <xf numFmtId="0" fontId="6" fillId="0" borderId="37" xfId="59" applyFont="1" applyBorder="1" applyAlignment="1">
      <alignment horizontal="left" vertical="center" indent="2"/>
      <protection/>
    </xf>
    <xf numFmtId="0" fontId="4" fillId="0" borderId="51" xfId="0" applyFont="1" applyBorder="1" applyAlignment="1">
      <alignment horizontal="center" vertical="center"/>
    </xf>
    <xf numFmtId="174" fontId="73" fillId="0" borderId="0" xfId="0" applyNumberFormat="1" applyFont="1" applyAlignment="1">
      <alignment/>
    </xf>
    <xf numFmtId="174" fontId="7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/>
    </xf>
    <xf numFmtId="174" fontId="73" fillId="0" borderId="0" xfId="0" applyNumberFormat="1" applyFont="1" applyFill="1" applyAlignment="1">
      <alignment/>
    </xf>
    <xf numFmtId="49" fontId="5" fillId="34" borderId="10" xfId="56" applyNumberFormat="1" applyFont="1" applyFill="1" applyBorder="1" applyAlignment="1" quotePrefix="1">
      <alignment horizontal="center" vertical="center"/>
      <protection/>
    </xf>
    <xf numFmtId="0" fontId="5" fillId="34" borderId="10" xfId="56" applyFont="1" applyFill="1" applyBorder="1" applyAlignment="1">
      <alignment horizontal="left" vertical="center"/>
      <protection/>
    </xf>
    <xf numFmtId="174" fontId="74" fillId="0" borderId="0" xfId="0" applyNumberFormat="1" applyFont="1" applyFill="1" applyAlignment="1">
      <alignment/>
    </xf>
    <xf numFmtId="174" fontId="73" fillId="0" borderId="0" xfId="0" applyNumberFormat="1" applyFont="1" applyAlignment="1">
      <alignment horizontal="right"/>
    </xf>
    <xf numFmtId="3" fontId="73" fillId="0" borderId="0" xfId="0" applyNumberFormat="1" applyFont="1" applyAlignment="1">
      <alignment horizontal="right"/>
    </xf>
    <xf numFmtId="174" fontId="76" fillId="0" borderId="0" xfId="0" applyNumberFormat="1" applyFont="1" applyAlignment="1">
      <alignment horizontal="right"/>
    </xf>
    <xf numFmtId="174" fontId="76" fillId="0" borderId="0" xfId="0" applyNumberFormat="1" applyFont="1" applyAlignment="1">
      <alignment/>
    </xf>
    <xf numFmtId="0" fontId="80" fillId="0" borderId="32" xfId="0" applyFont="1" applyFill="1" applyBorder="1" applyAlignment="1">
      <alignment vertical="center" wrapText="1"/>
    </xf>
    <xf numFmtId="0" fontId="73" fillId="0" borderId="32" xfId="0" applyFont="1" applyFill="1" applyBorder="1" applyAlignment="1">
      <alignment vertical="center" wrapText="1"/>
    </xf>
    <xf numFmtId="0" fontId="0" fillId="0" borderId="0" xfId="0" applyAlignment="1">
      <alignment/>
    </xf>
    <xf numFmtId="3" fontId="76" fillId="33" borderId="10" xfId="0" applyNumberFormat="1" applyFont="1" applyFill="1" applyBorder="1" applyAlignment="1">
      <alignment/>
    </xf>
    <xf numFmtId="3" fontId="73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174" fontId="2" fillId="0" borderId="0" xfId="0" applyNumberFormat="1" applyFont="1" applyAlignment="1">
      <alignment horizontal="right"/>
    </xf>
    <xf numFmtId="174" fontId="73" fillId="0" borderId="0" xfId="0" applyNumberFormat="1" applyFont="1" applyAlignment="1">
      <alignment horizontal="center"/>
    </xf>
    <xf numFmtId="174" fontId="74" fillId="0" borderId="0" xfId="0" applyNumberFormat="1" applyFont="1" applyAlignment="1">
      <alignment horizontal="center"/>
    </xf>
    <xf numFmtId="174" fontId="4" fillId="33" borderId="10" xfId="0" applyNumberFormat="1" applyFont="1" applyFill="1" applyBorder="1" applyAlignment="1">
      <alignment horizontal="center" vertical="center" wrapText="1"/>
    </xf>
    <xf numFmtId="174" fontId="5" fillId="0" borderId="10" xfId="56" applyNumberFormat="1" applyFont="1" applyFill="1" applyBorder="1" applyAlignment="1">
      <alignment horizontal="right" vertical="center"/>
      <protection/>
    </xf>
    <xf numFmtId="174" fontId="6" fillId="0" borderId="10" xfId="58" applyNumberFormat="1" applyFont="1" applyFill="1" applyBorder="1" applyAlignment="1">
      <alignment horizontal="right" vertical="center" wrapText="1"/>
      <protection/>
    </xf>
    <xf numFmtId="174" fontId="73" fillId="0" borderId="10" xfId="0" applyNumberFormat="1" applyFont="1" applyFill="1" applyBorder="1" applyAlignment="1">
      <alignment horizontal="right" vertical="center"/>
    </xf>
    <xf numFmtId="174" fontId="2" fillId="33" borderId="10" xfId="56" applyNumberFormat="1" applyFont="1" applyFill="1" applyBorder="1" applyAlignment="1">
      <alignment horizontal="right" vertical="center"/>
      <protection/>
    </xf>
    <xf numFmtId="174" fontId="4" fillId="33" borderId="10" xfId="58" applyNumberFormat="1" applyFont="1" applyFill="1" applyBorder="1" applyAlignment="1">
      <alignment horizontal="right" vertical="center" wrapText="1"/>
      <protection/>
    </xf>
    <xf numFmtId="174" fontId="4" fillId="0" borderId="10" xfId="58" applyNumberFormat="1" applyFont="1" applyFill="1" applyBorder="1" applyAlignment="1">
      <alignment horizontal="right" vertical="center" wrapText="1"/>
      <protection/>
    </xf>
    <xf numFmtId="174" fontId="73" fillId="0" borderId="0" xfId="0" applyNumberFormat="1" applyFont="1" applyAlignment="1">
      <alignment horizontal="right" vertical="center"/>
    </xf>
    <xf numFmtId="174" fontId="74" fillId="0" borderId="0" xfId="0" applyNumberFormat="1" applyFont="1" applyFill="1" applyAlignment="1">
      <alignment horizontal="right" vertical="center"/>
    </xf>
    <xf numFmtId="174" fontId="74" fillId="0" borderId="0" xfId="0" applyNumberFormat="1" applyFont="1" applyAlignment="1">
      <alignment horizontal="right" vertical="center"/>
    </xf>
    <xf numFmtId="174" fontId="73" fillId="0" borderId="0" xfId="0" applyNumberFormat="1" applyFont="1" applyFill="1" applyAlignment="1">
      <alignment horizontal="right" vertical="center"/>
    </xf>
    <xf numFmtId="174" fontId="73" fillId="0" borderId="0" xfId="0" applyNumberFormat="1" applyFont="1" applyFill="1" applyAlignment="1">
      <alignment horizontal="center"/>
    </xf>
    <xf numFmtId="174" fontId="4" fillId="33" borderId="13" xfId="58" applyNumberFormat="1" applyFont="1" applyFill="1" applyBorder="1" applyAlignment="1">
      <alignment horizontal="right" vertical="center" wrapText="1"/>
      <protection/>
    </xf>
    <xf numFmtId="174" fontId="4" fillId="33" borderId="0" xfId="0" applyNumberFormat="1" applyFont="1" applyFill="1" applyAlignment="1">
      <alignment horizontal="right"/>
    </xf>
    <xf numFmtId="174" fontId="0" fillId="0" borderId="0" xfId="0" applyNumberFormat="1" applyAlignment="1">
      <alignment horizontal="center"/>
    </xf>
    <xf numFmtId="0" fontId="7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56" applyNumberFormat="1" applyFont="1" applyFill="1" applyBorder="1" applyAlignment="1">
      <alignment horizontal="right" vertical="center"/>
      <protection/>
    </xf>
    <xf numFmtId="3" fontId="4" fillId="0" borderId="0" xfId="58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ill="1" applyBorder="1" applyAlignment="1">
      <alignment/>
    </xf>
    <xf numFmtId="3" fontId="4" fillId="33" borderId="14" xfId="58" applyNumberFormat="1" applyFont="1" applyFill="1" applyBorder="1" applyAlignment="1">
      <alignment horizontal="right" vertical="center" wrapText="1"/>
      <protection/>
    </xf>
    <xf numFmtId="3" fontId="0" fillId="0" borderId="0" xfId="0" applyNumberFormat="1" applyAlignment="1">
      <alignment/>
    </xf>
    <xf numFmtId="3" fontId="73" fillId="0" borderId="0" xfId="0" applyNumberFormat="1" applyFont="1" applyAlignment="1">
      <alignment/>
    </xf>
    <xf numFmtId="0" fontId="84" fillId="0" borderId="0" xfId="0" applyFont="1" applyAlignment="1">
      <alignment/>
    </xf>
    <xf numFmtId="3" fontId="0" fillId="0" borderId="10" xfId="0" applyNumberFormat="1" applyBorder="1" applyAlignment="1">
      <alignment/>
    </xf>
    <xf numFmtId="174" fontId="83" fillId="0" borderId="0" xfId="0" applyNumberFormat="1" applyFont="1" applyAlignment="1">
      <alignment/>
    </xf>
    <xf numFmtId="178" fontId="83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4" fillId="36" borderId="52" xfId="0" applyFont="1" applyFill="1" applyBorder="1" applyAlignment="1">
      <alignment vertical="center" wrapText="1"/>
    </xf>
    <xf numFmtId="177" fontId="4" fillId="36" borderId="53" xfId="46" applyNumberFormat="1" applyFont="1" applyFill="1" applyBorder="1" applyAlignment="1">
      <alignment horizontal="right" vertical="center" wrapText="1"/>
    </xf>
    <xf numFmtId="177" fontId="4" fillId="36" borderId="54" xfId="46" applyNumberFormat="1" applyFont="1" applyFill="1" applyBorder="1" applyAlignment="1">
      <alignment horizontal="right" vertical="center" wrapText="1"/>
    </xf>
    <xf numFmtId="177" fontId="4" fillId="36" borderId="55" xfId="46" applyNumberFormat="1" applyFont="1" applyFill="1" applyBorder="1" applyAlignment="1">
      <alignment horizontal="right"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177" fontId="4" fillId="36" borderId="56" xfId="46" applyNumberFormat="1" applyFont="1" applyFill="1" applyBorder="1" applyAlignment="1">
      <alignment horizontal="right" vertical="center" wrapText="1"/>
    </xf>
    <xf numFmtId="177" fontId="4" fillId="0" borderId="29" xfId="46" applyNumberFormat="1" applyFont="1" applyBorder="1" applyAlignment="1">
      <alignment horizontal="right" vertical="center" wrapText="1"/>
    </xf>
    <xf numFmtId="177" fontId="4" fillId="0" borderId="27" xfId="46" applyNumberFormat="1" applyFont="1" applyBorder="1" applyAlignment="1">
      <alignment horizontal="right" vertical="center" wrapText="1"/>
    </xf>
    <xf numFmtId="177" fontId="4" fillId="0" borderId="28" xfId="46" applyNumberFormat="1" applyFont="1" applyBorder="1" applyAlignment="1">
      <alignment horizontal="right" vertical="center" wrapText="1"/>
    </xf>
    <xf numFmtId="177" fontId="6" fillId="0" borderId="21" xfId="46" applyNumberFormat="1" applyFont="1" applyBorder="1" applyAlignment="1">
      <alignment horizontal="right" vertical="center" wrapText="1"/>
    </xf>
    <xf numFmtId="177" fontId="6" fillId="0" borderId="19" xfId="46" applyNumberFormat="1" applyFont="1" applyBorder="1" applyAlignment="1">
      <alignment horizontal="right" vertical="center" wrapText="1"/>
    </xf>
    <xf numFmtId="177" fontId="6" fillId="0" borderId="20" xfId="46" applyNumberFormat="1" applyFont="1" applyBorder="1" applyAlignment="1">
      <alignment horizontal="right" vertical="center" wrapText="1"/>
    </xf>
    <xf numFmtId="177" fontId="6" fillId="0" borderId="12" xfId="46" applyNumberFormat="1" applyFont="1" applyBorder="1" applyAlignment="1">
      <alignment horizontal="right" vertical="center" wrapText="1"/>
    </xf>
    <xf numFmtId="177" fontId="4" fillId="0" borderId="57" xfId="46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/>
    </xf>
    <xf numFmtId="3" fontId="73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2" fontId="4" fillId="0" borderId="5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177" fontId="76" fillId="0" borderId="59" xfId="46" applyNumberFormat="1" applyFont="1" applyBorder="1" applyAlignment="1">
      <alignment horizontal="center" vertical="center" wrapText="1"/>
    </xf>
    <xf numFmtId="177" fontId="76" fillId="0" borderId="60" xfId="46" applyNumberFormat="1" applyFont="1" applyBorder="1" applyAlignment="1">
      <alignment horizontal="center" vertical="center" wrapText="1"/>
    </xf>
    <xf numFmtId="177" fontId="76" fillId="0" borderId="0" xfId="46" applyNumberFormat="1" applyFont="1" applyBorder="1" applyAlignment="1">
      <alignment horizontal="center" vertical="center" wrapText="1"/>
    </xf>
    <xf numFmtId="0" fontId="73" fillId="0" borderId="61" xfId="0" applyFont="1" applyBorder="1" applyAlignment="1">
      <alignment wrapText="1"/>
    </xf>
    <xf numFmtId="176" fontId="6" fillId="0" borderId="0" xfId="0" applyNumberFormat="1" applyFont="1" applyAlignment="1" applyProtection="1">
      <alignment wrapText="1"/>
      <protection locked="0"/>
    </xf>
    <xf numFmtId="177" fontId="73" fillId="0" borderId="59" xfId="46" applyNumberFormat="1" applyFont="1" applyBorder="1" applyAlignment="1">
      <alignment vertical="center" wrapText="1"/>
    </xf>
    <xf numFmtId="177" fontId="6" fillId="0" borderId="10" xfId="46" applyNumberFormat="1" applyFont="1" applyFill="1" applyBorder="1" applyAlignment="1">
      <alignment horizontal="right" vertical="center" wrapText="1"/>
    </xf>
    <xf numFmtId="0" fontId="4" fillId="36" borderId="62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right" wrapText="1"/>
    </xf>
    <xf numFmtId="177" fontId="6" fillId="0" borderId="14" xfId="46" applyNumberFormat="1" applyFont="1" applyFill="1" applyBorder="1" applyAlignment="1">
      <alignment horizontal="right" vertical="center" wrapText="1"/>
    </xf>
    <xf numFmtId="177" fontId="6" fillId="0" borderId="14" xfId="46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63" xfId="0" applyFont="1" applyBorder="1" applyAlignment="1">
      <alignment wrapText="1"/>
    </xf>
    <xf numFmtId="0" fontId="6" fillId="0" borderId="64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61" xfId="0" applyFont="1" applyBorder="1" applyAlignment="1">
      <alignment wrapText="1"/>
    </xf>
    <xf numFmtId="0" fontId="6" fillId="34" borderId="61" xfId="0" applyFont="1" applyFill="1" applyBorder="1" applyAlignment="1">
      <alignment wrapText="1"/>
    </xf>
    <xf numFmtId="0" fontId="6" fillId="0" borderId="65" xfId="0" applyFont="1" applyBorder="1" applyAlignment="1">
      <alignment vertical="center" wrapText="1"/>
    </xf>
    <xf numFmtId="183" fontId="6" fillId="0" borderId="10" xfId="61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10" xfId="56" applyNumberFormat="1" applyFont="1" applyFill="1" applyBorder="1" applyAlignment="1">
      <alignment/>
      <protection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49" fontId="6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0" xfId="56" applyFont="1" applyFill="1" applyBorder="1" applyAlignment="1">
      <alignment vertical="center" wrapText="1"/>
      <protection/>
    </xf>
    <xf numFmtId="174" fontId="47" fillId="0" borderId="0" xfId="0" applyNumberFormat="1" applyFont="1" applyAlignment="1">
      <alignment/>
    </xf>
    <xf numFmtId="49" fontId="4" fillId="33" borderId="10" xfId="56" applyNumberFormat="1" applyFont="1" applyFill="1" applyBorder="1" applyAlignment="1" quotePrefix="1">
      <alignment horizontal="center" vertical="center"/>
      <protection/>
    </xf>
    <xf numFmtId="3" fontId="47" fillId="0" borderId="0" xfId="0" applyNumberFormat="1" applyFont="1" applyAlignment="1">
      <alignment/>
    </xf>
    <xf numFmtId="11" fontId="4" fillId="33" borderId="10" xfId="56" applyNumberFormat="1" applyFont="1" applyFill="1" applyBorder="1" applyAlignment="1">
      <alignment horizontal="left" vertical="center" wrapText="1"/>
      <protection/>
    </xf>
    <xf numFmtId="11" fontId="6" fillId="34" borderId="10" xfId="56" applyNumberFormat="1" applyFont="1" applyFill="1" applyBorder="1" applyAlignment="1">
      <alignment horizontal="left" vertical="center" wrapText="1"/>
      <protection/>
    </xf>
    <xf numFmtId="49" fontId="4" fillId="35" borderId="10" xfId="56" applyNumberFormat="1" applyFont="1" applyFill="1" applyBorder="1" applyAlignment="1" quotePrefix="1">
      <alignment horizontal="center" vertical="center"/>
      <protection/>
    </xf>
    <xf numFmtId="49" fontId="4" fillId="0" borderId="11" xfId="56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Alignment="1">
      <alignment/>
    </xf>
    <xf numFmtId="49" fontId="4" fillId="33" borderId="12" xfId="56" applyNumberFormat="1" applyFont="1" applyFill="1" applyBorder="1" applyAlignment="1" quotePrefix="1">
      <alignment horizontal="center" vertical="center"/>
      <protection/>
    </xf>
    <xf numFmtId="0" fontId="47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4" fontId="48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37" fontId="6" fillId="0" borderId="44" xfId="0" applyNumberFormat="1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3" fontId="81" fillId="0" borderId="0" xfId="0" applyNumberFormat="1" applyFont="1" applyBorder="1" applyAlignment="1">
      <alignment/>
    </xf>
    <xf numFmtId="3" fontId="75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0" fillId="0" borderId="0" xfId="0" applyBorder="1" applyAlignment="1">
      <alignment/>
    </xf>
    <xf numFmtId="2" fontId="75" fillId="0" borderId="0" xfId="0" applyNumberFormat="1" applyFont="1" applyBorder="1" applyAlignment="1">
      <alignment horizontal="right"/>
    </xf>
    <xf numFmtId="4" fontId="7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4" fontId="73" fillId="0" borderId="0" xfId="0" applyNumberFormat="1" applyFont="1" applyBorder="1" applyAlignment="1">
      <alignment/>
    </xf>
    <xf numFmtId="0" fontId="73" fillId="0" borderId="0" xfId="0" applyFont="1" applyBorder="1" applyAlignment="1">
      <alignment/>
    </xf>
    <xf numFmtId="174" fontId="76" fillId="0" borderId="0" xfId="0" applyNumberFormat="1" applyFont="1" applyBorder="1" applyAlignment="1">
      <alignment/>
    </xf>
    <xf numFmtId="174" fontId="73" fillId="0" borderId="0" xfId="0" applyNumberFormat="1" applyFont="1" applyFill="1" applyBorder="1" applyAlignment="1">
      <alignment/>
    </xf>
    <xf numFmtId="176" fontId="6" fillId="0" borderId="66" xfId="0" applyNumberFormat="1" applyFont="1" applyBorder="1" applyAlignment="1" applyProtection="1">
      <alignment horizontal="right"/>
      <protection locked="0"/>
    </xf>
    <xf numFmtId="0" fontId="76" fillId="0" borderId="0" xfId="0" applyFont="1" applyAlignment="1">
      <alignment horizontal="center" wrapText="1"/>
    </xf>
    <xf numFmtId="177" fontId="76" fillId="0" borderId="30" xfId="46" applyNumberFormat="1" applyFont="1" applyBorder="1" applyAlignment="1">
      <alignment horizontal="center" vertical="center" wrapText="1"/>
    </xf>
    <xf numFmtId="177" fontId="76" fillId="0" borderId="31" xfId="46" applyNumberFormat="1" applyFont="1" applyBorder="1" applyAlignment="1">
      <alignment horizontal="center" vertical="center" wrapText="1"/>
    </xf>
    <xf numFmtId="0" fontId="73" fillId="0" borderId="32" xfId="0" applyFont="1" applyBorder="1" applyAlignment="1">
      <alignment vertical="center" wrapText="1"/>
    </xf>
    <xf numFmtId="177" fontId="73" fillId="0" borderId="16" xfId="46" applyNumberFormat="1" applyFont="1" applyBorder="1" applyAlignment="1">
      <alignment vertical="center" wrapText="1"/>
    </xf>
    <xf numFmtId="177" fontId="73" fillId="0" borderId="66" xfId="46" applyNumberFormat="1" applyFont="1" applyBorder="1" applyAlignment="1">
      <alignment vertical="center" wrapText="1"/>
    </xf>
    <xf numFmtId="0" fontId="73" fillId="0" borderId="0" xfId="0" applyFont="1" applyAlignment="1">
      <alignment wrapText="1"/>
    </xf>
    <xf numFmtId="0" fontId="73" fillId="0" borderId="10" xfId="0" applyFont="1" applyBorder="1" applyAlignment="1">
      <alignment wrapText="1"/>
    </xf>
    <xf numFmtId="177" fontId="73" fillId="0" borderId="60" xfId="46" applyNumberFormat="1" applyFont="1" applyBorder="1" applyAlignment="1">
      <alignment vertical="center" wrapText="1"/>
    </xf>
    <xf numFmtId="177" fontId="73" fillId="0" borderId="0" xfId="46" applyNumberFormat="1" applyFont="1" applyBorder="1" applyAlignment="1">
      <alignment vertical="center" wrapText="1"/>
    </xf>
    <xf numFmtId="177" fontId="76" fillId="36" borderId="18" xfId="46" applyNumberFormat="1" applyFont="1" applyFill="1" applyBorder="1" applyAlignment="1">
      <alignment vertical="center" wrapText="1"/>
    </xf>
    <xf numFmtId="0" fontId="76" fillId="0" borderId="0" xfId="0" applyFont="1" applyAlignment="1">
      <alignment wrapText="1"/>
    </xf>
    <xf numFmtId="177" fontId="73" fillId="0" borderId="10" xfId="46" applyNumberFormat="1" applyFont="1" applyBorder="1" applyAlignment="1">
      <alignment vertical="center" wrapText="1"/>
    </xf>
    <xf numFmtId="0" fontId="76" fillId="0" borderId="32" xfId="0" applyFont="1" applyBorder="1" applyAlignment="1">
      <alignment horizontal="left" vertical="center" wrapText="1"/>
    </xf>
    <xf numFmtId="0" fontId="76" fillId="0" borderId="36" xfId="0" applyFont="1" applyBorder="1" applyAlignment="1">
      <alignment horizontal="left" vertical="center" wrapText="1"/>
    </xf>
    <xf numFmtId="177" fontId="76" fillId="0" borderId="67" xfId="46" applyNumberFormat="1" applyFont="1" applyBorder="1" applyAlignment="1">
      <alignment horizontal="center" vertical="center" wrapText="1"/>
    </xf>
    <xf numFmtId="177" fontId="76" fillId="0" borderId="68" xfId="46" applyNumberFormat="1" applyFont="1" applyBorder="1" applyAlignment="1">
      <alignment horizontal="center" vertical="center" wrapText="1"/>
    </xf>
    <xf numFmtId="177" fontId="76" fillId="0" borderId="19" xfId="46" applyNumberFormat="1" applyFont="1" applyBorder="1" applyAlignment="1">
      <alignment horizontal="center" vertical="center" wrapText="1"/>
    </xf>
    <xf numFmtId="177" fontId="76" fillId="0" borderId="69" xfId="46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77" fontId="76" fillId="0" borderId="67" xfId="46" applyNumberFormat="1" applyFont="1" applyBorder="1" applyAlignment="1">
      <alignment horizontal="left" vertical="center" wrapText="1"/>
    </xf>
    <xf numFmtId="176" fontId="6" fillId="0" borderId="0" xfId="0" applyNumberFormat="1" applyFont="1" applyAlignment="1" applyProtection="1">
      <alignment horizontal="left"/>
      <protection locked="0"/>
    </xf>
    <xf numFmtId="177" fontId="73" fillId="0" borderId="70" xfId="46" applyNumberFormat="1" applyFont="1" applyBorder="1" applyAlignment="1">
      <alignment vertical="center" wrapText="1"/>
    </xf>
    <xf numFmtId="177" fontId="73" fillId="0" borderId="14" xfId="46" applyNumberFormat="1" applyFont="1" applyBorder="1" applyAlignment="1">
      <alignment vertical="center" wrapText="1"/>
    </xf>
    <xf numFmtId="0" fontId="76" fillId="36" borderId="62" xfId="0" applyFont="1" applyFill="1" applyBorder="1" applyAlignment="1">
      <alignment vertical="center" wrapText="1"/>
    </xf>
    <xf numFmtId="177" fontId="76" fillId="36" borderId="53" xfId="46" applyNumberFormat="1" applyFont="1" applyFill="1" applyBorder="1" applyAlignment="1">
      <alignment horizontal="left" vertical="center" wrapText="1"/>
    </xf>
    <xf numFmtId="177" fontId="76" fillId="36" borderId="53" xfId="46" applyNumberFormat="1" applyFont="1" applyFill="1" applyBorder="1" applyAlignment="1">
      <alignment vertical="center" wrapText="1"/>
    </xf>
    <xf numFmtId="177" fontId="76" fillId="36" borderId="71" xfId="46" applyNumberFormat="1" applyFont="1" applyFill="1" applyBorder="1" applyAlignment="1">
      <alignment vertical="center" wrapText="1"/>
    </xf>
    <xf numFmtId="0" fontId="73" fillId="0" borderId="12" xfId="0" applyFont="1" applyBorder="1" applyAlignment="1">
      <alignment vertical="center" wrapText="1"/>
    </xf>
    <xf numFmtId="0" fontId="73" fillId="0" borderId="14" xfId="0" applyFont="1" applyBorder="1" applyAlignment="1">
      <alignment wrapText="1"/>
    </xf>
    <xf numFmtId="177" fontId="73" fillId="0" borderId="64" xfId="46" applyNumberFormat="1" applyFont="1" applyBorder="1" applyAlignment="1">
      <alignment horizontal="left" vertical="center" wrapText="1"/>
    </xf>
    <xf numFmtId="177" fontId="73" fillId="0" borderId="15" xfId="46" applyNumberFormat="1" applyFont="1" applyBorder="1" applyAlignment="1">
      <alignment horizontal="left" vertical="top" wrapText="1"/>
    </xf>
    <xf numFmtId="177" fontId="73" fillId="0" borderId="15" xfId="46" applyNumberFormat="1" applyFont="1" applyBorder="1" applyAlignment="1">
      <alignment horizontal="left" vertical="center" wrapText="1"/>
    </xf>
    <xf numFmtId="0" fontId="73" fillId="0" borderId="61" xfId="0" applyFont="1" applyBorder="1" applyAlignment="1">
      <alignment horizontal="left" wrapText="1"/>
    </xf>
    <xf numFmtId="177" fontId="73" fillId="0" borderId="61" xfId="46" applyNumberFormat="1" applyFont="1" applyBorder="1" applyAlignment="1">
      <alignment horizontal="left" vertical="center" wrapText="1"/>
    </xf>
    <xf numFmtId="0" fontId="73" fillId="0" borderId="12" xfId="0" applyFont="1" applyBorder="1" applyAlignment="1">
      <alignment wrapText="1"/>
    </xf>
    <xf numFmtId="177" fontId="73" fillId="0" borderId="12" xfId="46" applyNumberFormat="1" applyFont="1" applyBorder="1" applyAlignment="1">
      <alignment vertical="center" wrapText="1"/>
    </xf>
    <xf numFmtId="177" fontId="73" fillId="0" borderId="64" xfId="46" applyNumberFormat="1" applyFont="1" applyBorder="1" applyAlignment="1">
      <alignment vertical="center" wrapText="1"/>
    </xf>
    <xf numFmtId="177" fontId="73" fillId="0" borderId="15" xfId="46" applyNumberFormat="1" applyFont="1" applyBorder="1" applyAlignment="1">
      <alignment vertical="center" wrapText="1"/>
    </xf>
    <xf numFmtId="177" fontId="73" fillId="0" borderId="61" xfId="46" applyNumberFormat="1" applyFont="1" applyBorder="1" applyAlignment="1">
      <alignment vertical="center" wrapText="1"/>
    </xf>
    <xf numFmtId="177" fontId="73" fillId="0" borderId="72" xfId="46" applyNumberFormat="1" applyFont="1" applyBorder="1" applyAlignment="1">
      <alignment vertical="center" wrapText="1"/>
    </xf>
    <xf numFmtId="178" fontId="50" fillId="34" borderId="0" xfId="0" applyNumberFormat="1" applyFont="1" applyFill="1" applyBorder="1" applyAlignment="1">
      <alignment/>
    </xf>
    <xf numFmtId="0" fontId="4" fillId="33" borderId="10" xfId="56" applyFont="1" applyFill="1" applyBorder="1" applyAlignment="1">
      <alignment vertical="center" wrapText="1"/>
      <protection/>
    </xf>
    <xf numFmtId="0" fontId="0" fillId="0" borderId="0" xfId="0" applyAlignment="1">
      <alignment/>
    </xf>
    <xf numFmtId="3" fontId="86" fillId="0" borderId="10" xfId="56" applyNumberFormat="1" applyFont="1" applyFill="1" applyBorder="1" applyAlignment="1">
      <alignment/>
      <protection/>
    </xf>
    <xf numFmtId="0" fontId="80" fillId="40" borderId="32" xfId="0" applyFont="1" applyFill="1" applyBorder="1" applyAlignment="1">
      <alignment vertical="center" wrapText="1"/>
    </xf>
    <xf numFmtId="173" fontId="80" fillId="40" borderId="24" xfId="46" applyFont="1" applyFill="1" applyBorder="1" applyAlignment="1">
      <alignment vertical="center" wrapText="1"/>
    </xf>
    <xf numFmtId="173" fontId="80" fillId="40" borderId="16" xfId="46" applyFont="1" applyFill="1" applyBorder="1" applyAlignment="1">
      <alignment vertical="center" wrapText="1"/>
    </xf>
    <xf numFmtId="173" fontId="73" fillId="40" borderId="24" xfId="46" applyFont="1" applyFill="1" applyBorder="1" applyAlignment="1">
      <alignment vertical="center" wrapText="1"/>
    </xf>
    <xf numFmtId="173" fontId="73" fillId="40" borderId="16" xfId="46" applyFont="1" applyFill="1" applyBorder="1" applyAlignment="1">
      <alignment vertical="center" wrapText="1"/>
    </xf>
    <xf numFmtId="173" fontId="80" fillId="37" borderId="16" xfId="46" applyFont="1" applyFill="1" applyBorder="1" applyAlignment="1">
      <alignment vertical="center" wrapText="1"/>
    </xf>
    <xf numFmtId="0" fontId="81" fillId="0" borderId="12" xfId="0" applyFont="1" applyBorder="1" applyAlignment="1">
      <alignment horizontal="center" vertical="center"/>
    </xf>
    <xf numFmtId="168" fontId="73" fillId="0" borderId="12" xfId="0" applyNumberFormat="1" applyFont="1" applyBorder="1" applyAlignment="1">
      <alignment/>
    </xf>
    <xf numFmtId="168" fontId="6" fillId="0" borderId="12" xfId="0" applyNumberFormat="1" applyFont="1" applyBorder="1" applyAlignment="1">
      <alignment/>
    </xf>
    <xf numFmtId="0" fontId="81" fillId="0" borderId="10" xfId="0" applyFont="1" applyFill="1" applyBorder="1" applyAlignment="1">
      <alignment horizontal="center" vertical="center"/>
    </xf>
    <xf numFmtId="0" fontId="4" fillId="0" borderId="0" xfId="56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6" fillId="0" borderId="10" xfId="56" applyNumberFormat="1" applyFont="1" applyFill="1" applyBorder="1" applyAlignment="1">
      <alignment vertical="center"/>
      <protection/>
    </xf>
    <xf numFmtId="3" fontId="6" fillId="0" borderId="10" xfId="58" applyNumberFormat="1" applyFont="1" applyFill="1" applyBorder="1" applyAlignment="1">
      <alignment vertical="center" wrapText="1"/>
      <protection/>
    </xf>
    <xf numFmtId="3" fontId="4" fillId="33" borderId="10" xfId="56" applyNumberFormat="1" applyFont="1" applyFill="1" applyBorder="1" applyAlignment="1">
      <alignment vertical="center"/>
      <protection/>
    </xf>
    <xf numFmtId="3" fontId="4" fillId="33" borderId="10" xfId="58" applyNumberFormat="1" applyFont="1" applyFill="1" applyBorder="1" applyAlignment="1">
      <alignment vertical="center" wrapText="1"/>
      <protection/>
    </xf>
    <xf numFmtId="3" fontId="6" fillId="34" borderId="10" xfId="58" applyNumberFormat="1" applyFont="1" applyFill="1" applyBorder="1" applyAlignment="1">
      <alignment vertical="center" wrapText="1"/>
      <protection/>
    </xf>
    <xf numFmtId="0" fontId="4" fillId="33" borderId="12" xfId="56" applyFont="1" applyFill="1" applyBorder="1" applyAlignment="1">
      <alignment vertical="center" wrapText="1"/>
      <protection/>
    </xf>
    <xf numFmtId="3" fontId="4" fillId="33" borderId="13" xfId="58" applyNumberFormat="1" applyFont="1" applyFill="1" applyBorder="1" applyAlignment="1">
      <alignment vertical="center" wrapText="1"/>
      <protection/>
    </xf>
    <xf numFmtId="177" fontId="73" fillId="0" borderId="73" xfId="46" applyNumberFormat="1" applyFont="1" applyBorder="1" applyAlignment="1">
      <alignment horizontal="left" vertical="center" wrapText="1"/>
    </xf>
    <xf numFmtId="177" fontId="73" fillId="0" borderId="73" xfId="46" applyNumberFormat="1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177" fontId="73" fillId="0" borderId="74" xfId="46" applyNumberFormat="1" applyFont="1" applyBorder="1" applyAlignment="1">
      <alignment vertical="center" wrapText="1"/>
    </xf>
    <xf numFmtId="177" fontId="73" fillId="0" borderId="27" xfId="46" applyNumberFormat="1" applyFont="1" applyBorder="1" applyAlignment="1">
      <alignment vertical="center" wrapText="1"/>
    </xf>
    <xf numFmtId="177" fontId="73" fillId="0" borderId="57" xfId="46" applyNumberFormat="1" applyFont="1" applyBorder="1" applyAlignment="1">
      <alignment vertical="center" wrapText="1"/>
    </xf>
    <xf numFmtId="177" fontId="76" fillId="36" borderId="75" xfId="46" applyNumberFormat="1" applyFont="1" applyFill="1" applyBorder="1" applyAlignment="1">
      <alignment vertical="center" wrapText="1"/>
    </xf>
    <xf numFmtId="177" fontId="73" fillId="0" borderId="10" xfId="46" applyNumberFormat="1" applyFont="1" applyBorder="1" applyAlignment="1">
      <alignment horizontal="left" vertical="center" wrapText="1"/>
    </xf>
    <xf numFmtId="0" fontId="73" fillId="0" borderId="64" xfId="0" applyFont="1" applyBorder="1" applyAlignment="1">
      <alignment wrapText="1"/>
    </xf>
    <xf numFmtId="0" fontId="73" fillId="0" borderId="73" xfId="0" applyFont="1" applyBorder="1" applyAlignment="1">
      <alignment wrapText="1"/>
    </xf>
    <xf numFmtId="0" fontId="76" fillId="36" borderId="52" xfId="0" applyFont="1" applyFill="1" applyBorder="1" applyAlignment="1">
      <alignment wrapText="1"/>
    </xf>
    <xf numFmtId="3" fontId="73" fillId="0" borderId="61" xfId="0" applyNumberFormat="1" applyFont="1" applyBorder="1" applyAlignment="1">
      <alignment wrapText="1"/>
    </xf>
    <xf numFmtId="177" fontId="76" fillId="36" borderId="52" xfId="0" applyNumberFormat="1" applyFont="1" applyFill="1" applyBorder="1" applyAlignment="1">
      <alignment wrapText="1"/>
    </xf>
    <xf numFmtId="177" fontId="76" fillId="0" borderId="76" xfId="46" applyNumberFormat="1" applyFont="1" applyBorder="1" applyAlignment="1">
      <alignment horizontal="center" vertical="center" wrapText="1"/>
    </xf>
    <xf numFmtId="0" fontId="76" fillId="0" borderId="77" xfId="0" applyFont="1" applyBorder="1" applyAlignment="1">
      <alignment horizontal="center" wrapText="1"/>
    </xf>
    <xf numFmtId="0" fontId="76" fillId="0" borderId="0" xfId="0" applyFont="1" applyBorder="1" applyAlignment="1">
      <alignment horizontal="center" wrapText="1"/>
    </xf>
    <xf numFmtId="3" fontId="76" fillId="0" borderId="60" xfId="0" applyNumberFormat="1" applyFont="1" applyBorder="1" applyAlignment="1">
      <alignment horizontal="center" wrapText="1"/>
    </xf>
    <xf numFmtId="177" fontId="76" fillId="0" borderId="0" xfId="0" applyNumberFormat="1" applyFont="1" applyAlignment="1">
      <alignment horizontal="center" wrapText="1"/>
    </xf>
    <xf numFmtId="3" fontId="73" fillId="0" borderId="0" xfId="0" applyNumberFormat="1" applyFont="1" applyFill="1" applyBorder="1" applyAlignment="1">
      <alignment vertical="center"/>
    </xf>
    <xf numFmtId="49" fontId="5" fillId="0" borderId="25" xfId="56" applyNumberFormat="1" applyFont="1" applyFill="1" applyBorder="1" applyAlignment="1" quotePrefix="1">
      <alignment horizontal="center" vertical="center"/>
      <protection/>
    </xf>
    <xf numFmtId="3" fontId="5" fillId="0" borderId="26" xfId="56" applyNumberFormat="1" applyFont="1" applyFill="1" applyBorder="1" applyAlignment="1">
      <alignment horizontal="right" vertical="center"/>
      <protection/>
    </xf>
    <xf numFmtId="49" fontId="2" fillId="33" borderId="19" xfId="56" applyNumberFormat="1" applyFont="1" applyFill="1" applyBorder="1" applyAlignment="1" quotePrefix="1">
      <alignment horizontal="center" vertical="center"/>
      <protection/>
    </xf>
    <xf numFmtId="0" fontId="4" fillId="33" borderId="20" xfId="56" applyFont="1" applyFill="1" applyBorder="1" applyAlignment="1">
      <alignment horizontal="left" vertical="center" wrapText="1"/>
      <protection/>
    </xf>
    <xf numFmtId="3" fontId="4" fillId="33" borderId="21" xfId="58" applyNumberFormat="1" applyFont="1" applyFill="1" applyBorder="1" applyAlignment="1">
      <alignment horizontal="right" vertical="center" wrapText="1"/>
      <protection/>
    </xf>
    <xf numFmtId="49" fontId="2" fillId="33" borderId="35" xfId="56" applyNumberFormat="1" applyFont="1" applyFill="1" applyBorder="1" applyAlignment="1" quotePrefix="1">
      <alignment horizontal="center" vertical="center"/>
      <protection/>
    </xf>
    <xf numFmtId="0" fontId="4" fillId="33" borderId="78" xfId="56" applyFont="1" applyFill="1" applyBorder="1" applyAlignment="1">
      <alignment horizontal="left" vertical="center" wrapText="1"/>
      <protection/>
    </xf>
    <xf numFmtId="3" fontId="4" fillId="33" borderId="18" xfId="58" applyNumberFormat="1" applyFont="1" applyFill="1" applyBorder="1" applyAlignment="1">
      <alignment horizontal="right" vertical="center" wrapText="1"/>
      <protection/>
    </xf>
    <xf numFmtId="0" fontId="6" fillId="0" borderId="15" xfId="0" applyFont="1" applyBorder="1" applyAlignment="1">
      <alignment vertical="center" wrapText="1"/>
    </xf>
    <xf numFmtId="0" fontId="0" fillId="0" borderId="0" xfId="0" applyFill="1" applyAlignment="1">
      <alignment/>
    </xf>
    <xf numFmtId="49" fontId="5" fillId="35" borderId="10" xfId="56" applyNumberFormat="1" applyFont="1" applyFill="1" applyBorder="1" applyAlignment="1" quotePrefix="1">
      <alignment horizontal="center" vertical="center"/>
      <protection/>
    </xf>
    <xf numFmtId="0" fontId="73" fillId="0" borderId="0" xfId="0" applyFont="1" applyFill="1" applyBorder="1" applyAlignment="1">
      <alignment horizontal="right"/>
    </xf>
    <xf numFmtId="3" fontId="73" fillId="0" borderId="10" xfId="0" applyNumberFormat="1" applyFont="1" applyBorder="1" applyAlignment="1">
      <alignment vertical="center"/>
    </xf>
    <xf numFmtId="0" fontId="50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/>
    </xf>
    <xf numFmtId="178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1" fontId="50" fillId="0" borderId="0" xfId="61" applyNumberFormat="1" applyFont="1" applyAlignment="1">
      <alignment/>
    </xf>
    <xf numFmtId="14" fontId="50" fillId="0" borderId="0" xfId="0" applyNumberFormat="1" applyFont="1" applyBorder="1" applyAlignment="1">
      <alignment wrapText="1"/>
    </xf>
    <xf numFmtId="14" fontId="50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left" wrapText="1"/>
    </xf>
    <xf numFmtId="178" fontId="50" fillId="0" borderId="0" xfId="0" applyNumberFormat="1" applyFont="1" applyBorder="1" applyAlignment="1">
      <alignment wrapText="1"/>
    </xf>
    <xf numFmtId="178" fontId="50" fillId="0" borderId="0" xfId="0" applyNumberFormat="1" applyFont="1" applyBorder="1" applyAlignment="1">
      <alignment/>
    </xf>
    <xf numFmtId="178" fontId="53" fillId="0" borderId="0" xfId="0" applyNumberFormat="1" applyFont="1" applyBorder="1" applyAlignment="1">
      <alignment horizontal="center" vertical="center"/>
    </xf>
    <xf numFmtId="178" fontId="52" fillId="0" borderId="0" xfId="0" applyNumberFormat="1" applyFont="1" applyBorder="1" applyAlignment="1">
      <alignment wrapText="1"/>
    </xf>
    <xf numFmtId="178" fontId="53" fillId="0" borderId="0" xfId="0" applyNumberFormat="1" applyFont="1" applyBorder="1" applyAlignment="1">
      <alignment/>
    </xf>
    <xf numFmtId="178" fontId="52" fillId="37" borderId="0" xfId="0" applyNumberFormat="1" applyFont="1" applyFill="1" applyBorder="1" applyAlignment="1">
      <alignment/>
    </xf>
    <xf numFmtId="178" fontId="52" fillId="37" borderId="0" xfId="0" applyNumberFormat="1" applyFont="1" applyFill="1" applyBorder="1" applyAlignment="1">
      <alignment wrapText="1"/>
    </xf>
    <xf numFmtId="178" fontId="53" fillId="0" borderId="0" xfId="0" applyNumberFormat="1" applyFont="1" applyBorder="1" applyAlignment="1">
      <alignment vertical="center"/>
    </xf>
    <xf numFmtId="177" fontId="6" fillId="0" borderId="32" xfId="46" applyNumberFormat="1" applyFont="1" applyBorder="1" applyAlignment="1">
      <alignment vertical="center" wrapText="1"/>
    </xf>
    <xf numFmtId="0" fontId="6" fillId="0" borderId="57" xfId="0" applyFont="1" applyBorder="1" applyAlignment="1">
      <alignment wrapText="1"/>
    </xf>
    <xf numFmtId="0" fontId="6" fillId="0" borderId="73" xfId="0" applyFont="1" applyBorder="1" applyAlignment="1">
      <alignment wrapText="1"/>
    </xf>
    <xf numFmtId="177" fontId="6" fillId="0" borderId="26" xfId="46" applyNumberFormat="1" applyFont="1" applyBorder="1" applyAlignment="1">
      <alignment horizontal="right" wrapText="1"/>
    </xf>
    <xf numFmtId="177" fontId="6" fillId="0" borderId="79" xfId="46" applyNumberFormat="1" applyFont="1" applyBorder="1" applyAlignment="1">
      <alignment horizontal="right" vertical="center" wrapText="1"/>
    </xf>
    <xf numFmtId="0" fontId="50" fillId="0" borderId="0" xfId="0" applyFont="1" applyAlignment="1">
      <alignment wrapText="1"/>
    </xf>
    <xf numFmtId="177" fontId="50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178" fontId="50" fillId="34" borderId="0" xfId="0" applyNumberFormat="1" applyFont="1" applyFill="1" applyBorder="1" applyAlignment="1">
      <alignment wrapText="1"/>
    </xf>
    <xf numFmtId="0" fontId="50" fillId="0" borderId="0" xfId="0" applyFont="1" applyAlignment="1">
      <alignment horizontal="right"/>
    </xf>
    <xf numFmtId="0" fontId="53" fillId="37" borderId="0" xfId="0" applyFont="1" applyFill="1" applyBorder="1" applyAlignment="1">
      <alignment/>
    </xf>
    <xf numFmtId="178" fontId="53" fillId="37" borderId="0" xfId="0" applyNumberFormat="1" applyFont="1" applyFill="1" applyBorder="1" applyAlignment="1">
      <alignment/>
    </xf>
    <xf numFmtId="0" fontId="2" fillId="33" borderId="13" xfId="56" applyFont="1" applyFill="1" applyBorder="1" applyAlignment="1">
      <alignment horizontal="left" vertical="center"/>
      <protection/>
    </xf>
    <xf numFmtId="0" fontId="2" fillId="33" borderId="10" xfId="56" applyFont="1" applyFill="1" applyBorder="1" applyAlignment="1">
      <alignment horizontal="left" vertical="center"/>
      <protection/>
    </xf>
    <xf numFmtId="0" fontId="87" fillId="0" borderId="66" xfId="0" applyFont="1" applyFill="1" applyBorder="1" applyAlignment="1">
      <alignment horizontal="center"/>
    </xf>
    <xf numFmtId="49" fontId="2" fillId="33" borderId="10" xfId="56" applyNumberFormat="1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5" fillId="0" borderId="12" xfId="56" applyFont="1" applyFill="1" applyBorder="1" applyAlignment="1">
      <alignment horizontal="left" vertical="center"/>
      <protection/>
    </xf>
    <xf numFmtId="0" fontId="5" fillId="0" borderId="13" xfId="56" applyFont="1" applyFill="1" applyBorder="1" applyAlignment="1">
      <alignment horizontal="left" vertical="center"/>
      <protection/>
    </xf>
    <xf numFmtId="0" fontId="5" fillId="0" borderId="14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left" vertical="center"/>
      <protection/>
    </xf>
    <xf numFmtId="0" fontId="2" fillId="33" borderId="12" xfId="56" applyFont="1" applyFill="1" applyBorder="1" applyAlignment="1">
      <alignment horizontal="left" vertical="center"/>
      <protection/>
    </xf>
    <xf numFmtId="0" fontId="2" fillId="33" borderId="14" xfId="56" applyFont="1" applyFill="1" applyBorder="1" applyAlignment="1">
      <alignment horizontal="left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Alignment="1">
      <alignment horizontal="right"/>
    </xf>
    <xf numFmtId="0" fontId="87" fillId="0" borderId="0" xfId="0" applyFont="1" applyBorder="1" applyAlignment="1">
      <alignment horizontal="center"/>
    </xf>
    <xf numFmtId="0" fontId="87" fillId="0" borderId="80" xfId="0" applyFont="1" applyBorder="1" applyAlignment="1">
      <alignment horizontal="center"/>
    </xf>
    <xf numFmtId="0" fontId="87" fillId="0" borderId="66" xfId="0" applyFont="1" applyBorder="1" applyAlignment="1">
      <alignment horizontal="center"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2" fillId="33" borderId="20" xfId="56" applyFont="1" applyFill="1" applyBorder="1" applyAlignment="1">
      <alignment horizontal="left" vertical="center"/>
      <protection/>
    </xf>
    <xf numFmtId="0" fontId="2" fillId="33" borderId="78" xfId="56" applyFont="1" applyFill="1" applyBorder="1" applyAlignment="1">
      <alignment horizontal="left" vertical="center"/>
      <protection/>
    </xf>
    <xf numFmtId="0" fontId="88" fillId="0" borderId="0" xfId="0" applyFont="1" applyFill="1" applyBorder="1" applyAlignment="1">
      <alignment horizontal="center"/>
    </xf>
    <xf numFmtId="49" fontId="2" fillId="33" borderId="81" xfId="56" applyNumberFormat="1" applyFont="1" applyFill="1" applyBorder="1" applyAlignment="1">
      <alignment horizontal="center" vertical="center" wrapText="1"/>
      <protection/>
    </xf>
    <xf numFmtId="49" fontId="2" fillId="33" borderId="25" xfId="56" applyNumberFormat="1" applyFont="1" applyFill="1" applyBorder="1" applyAlignment="1">
      <alignment horizontal="center" vertical="center" wrapText="1"/>
      <protection/>
    </xf>
    <xf numFmtId="0" fontId="2" fillId="33" borderId="82" xfId="56" applyFont="1" applyFill="1" applyBorder="1" applyAlignment="1">
      <alignment horizontal="center" vertical="center"/>
      <protection/>
    </xf>
    <xf numFmtId="0" fontId="2" fillId="33" borderId="82" xfId="56" applyFont="1" applyFill="1" applyBorder="1" applyAlignment="1">
      <alignment horizontal="center" vertical="center" wrapText="1"/>
      <protection/>
    </xf>
    <xf numFmtId="0" fontId="4" fillId="33" borderId="83" xfId="56" applyFont="1" applyFill="1" applyBorder="1" applyAlignment="1">
      <alignment horizontal="center" vertical="center" wrapText="1"/>
      <protection/>
    </xf>
    <xf numFmtId="0" fontId="4" fillId="33" borderId="26" xfId="56" applyFont="1" applyFill="1" applyBorder="1" applyAlignment="1">
      <alignment horizontal="center" vertical="center" wrapText="1"/>
      <protection/>
    </xf>
    <xf numFmtId="0" fontId="5" fillId="34" borderId="12" xfId="56" applyFont="1" applyFill="1" applyBorder="1" applyAlignment="1">
      <alignment horizontal="left" vertical="center"/>
      <protection/>
    </xf>
    <xf numFmtId="0" fontId="5" fillId="34" borderId="13" xfId="56" applyFont="1" applyFill="1" applyBorder="1" applyAlignment="1">
      <alignment horizontal="left" vertical="center"/>
      <protection/>
    </xf>
    <xf numFmtId="0" fontId="5" fillId="34" borderId="14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vertical="center"/>
      <protection/>
    </xf>
    <xf numFmtId="0" fontId="5" fillId="0" borderId="12" xfId="56" applyFont="1" applyFill="1" applyBorder="1" applyAlignment="1">
      <alignment vertical="center"/>
      <protection/>
    </xf>
    <xf numFmtId="0" fontId="5" fillId="0" borderId="13" xfId="56" applyFont="1" applyFill="1" applyBorder="1" applyAlignment="1">
      <alignment vertical="center"/>
      <protection/>
    </xf>
    <xf numFmtId="0" fontId="5" fillId="0" borderId="14" xfId="56" applyFont="1" applyFill="1" applyBorder="1" applyAlignment="1">
      <alignment vertical="center"/>
      <protection/>
    </xf>
    <xf numFmtId="0" fontId="88" fillId="0" borderId="0" xfId="0" applyFont="1" applyBorder="1" applyAlignment="1">
      <alignment horizontal="center"/>
    </xf>
    <xf numFmtId="0" fontId="88" fillId="0" borderId="80" xfId="0" applyFont="1" applyBorder="1" applyAlignment="1">
      <alignment horizontal="center"/>
    </xf>
    <xf numFmtId="0" fontId="88" fillId="0" borderId="66" xfId="0" applyFont="1" applyBorder="1" applyAlignment="1">
      <alignment horizontal="center"/>
    </xf>
    <xf numFmtId="0" fontId="4" fillId="33" borderId="10" xfId="56" applyFont="1" applyFill="1" applyBorder="1" applyAlignment="1">
      <alignment vertical="center" wrapText="1"/>
      <protection/>
    </xf>
    <xf numFmtId="0" fontId="83" fillId="0" borderId="13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4" fillId="33" borderId="10" xfId="56" applyFont="1" applyFill="1" applyBorder="1" applyAlignment="1">
      <alignment wrapText="1"/>
      <protection/>
    </xf>
    <xf numFmtId="0" fontId="88" fillId="0" borderId="6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12" xfId="56" applyFont="1" applyFill="1" applyBorder="1" applyAlignment="1">
      <alignment horizontal="left" vertical="center"/>
      <protection/>
    </xf>
    <xf numFmtId="0" fontId="6" fillId="0" borderId="13" xfId="56" applyFont="1" applyFill="1" applyBorder="1" applyAlignment="1">
      <alignment horizontal="left" vertical="center"/>
      <protection/>
    </xf>
    <xf numFmtId="0" fontId="6" fillId="0" borderId="14" xfId="56" applyFont="1" applyFill="1" applyBorder="1" applyAlignment="1">
      <alignment horizontal="left" vertical="center"/>
      <protection/>
    </xf>
    <xf numFmtId="0" fontId="4" fillId="33" borderId="12" xfId="56" applyFont="1" applyFill="1" applyBorder="1" applyAlignment="1">
      <alignment horizontal="left" vertical="center"/>
      <protection/>
    </xf>
    <xf numFmtId="0" fontId="4" fillId="33" borderId="13" xfId="56" applyFont="1" applyFill="1" applyBorder="1" applyAlignment="1">
      <alignment horizontal="left" vertical="center"/>
      <protection/>
    </xf>
    <xf numFmtId="0" fontId="4" fillId="33" borderId="14" xfId="56" applyFont="1" applyFill="1" applyBorder="1" applyAlignment="1">
      <alignment horizontal="left" vertical="center"/>
      <protection/>
    </xf>
    <xf numFmtId="0" fontId="6" fillId="0" borderId="12" xfId="56" applyFont="1" applyFill="1" applyBorder="1" applyAlignment="1">
      <alignment vertical="center"/>
      <protection/>
    </xf>
    <xf numFmtId="0" fontId="6" fillId="0" borderId="13" xfId="56" applyFont="1" applyFill="1" applyBorder="1" applyAlignment="1">
      <alignment vertical="center"/>
      <protection/>
    </xf>
    <xf numFmtId="0" fontId="6" fillId="0" borderId="14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left" vertical="center"/>
      <protection/>
    </xf>
    <xf numFmtId="0" fontId="6" fillId="34" borderId="13" xfId="56" applyFont="1" applyFill="1" applyBorder="1" applyAlignment="1">
      <alignment horizontal="left" vertical="center"/>
      <protection/>
    </xf>
    <xf numFmtId="0" fontId="6" fillId="34" borderId="14" xfId="56" applyFont="1" applyFill="1" applyBorder="1" applyAlignment="1">
      <alignment horizontal="left" vertical="center"/>
      <protection/>
    </xf>
    <xf numFmtId="0" fontId="6" fillId="0" borderId="10" xfId="56" applyFont="1" applyFill="1" applyBorder="1" applyAlignment="1">
      <alignment horizontal="left" vertical="center"/>
      <protection/>
    </xf>
    <xf numFmtId="0" fontId="4" fillId="33" borderId="10" xfId="56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vertical="center"/>
      <protection/>
    </xf>
    <xf numFmtId="0" fontId="4" fillId="0" borderId="66" xfId="0" applyFont="1" applyFill="1" applyBorder="1" applyAlignment="1">
      <alignment horizontal="center"/>
    </xf>
    <xf numFmtId="0" fontId="4" fillId="0" borderId="0" xfId="56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left" vertical="center"/>
      <protection/>
    </xf>
    <xf numFmtId="0" fontId="2" fillId="0" borderId="13" xfId="56" applyFont="1" applyFill="1" applyBorder="1" applyAlignment="1">
      <alignment horizontal="left" vertical="center"/>
      <protection/>
    </xf>
    <xf numFmtId="0" fontId="2" fillId="0" borderId="14" xfId="56" applyFont="1" applyFill="1" applyBorder="1" applyAlignment="1">
      <alignment horizontal="left" vertical="center"/>
      <protection/>
    </xf>
    <xf numFmtId="0" fontId="2" fillId="33" borderId="79" xfId="56" applyFont="1" applyFill="1" applyBorder="1" applyAlignment="1">
      <alignment horizontal="left" vertical="center"/>
      <protection/>
    </xf>
    <xf numFmtId="0" fontId="2" fillId="33" borderId="84" xfId="56" applyFont="1" applyFill="1" applyBorder="1" applyAlignment="1">
      <alignment horizontal="left" vertical="center"/>
      <protection/>
    </xf>
    <xf numFmtId="0" fontId="2" fillId="33" borderId="63" xfId="56" applyFont="1" applyFill="1" applyBorder="1" applyAlignment="1">
      <alignment horizontal="left" vertical="center"/>
      <protection/>
    </xf>
    <xf numFmtId="0" fontId="4" fillId="33" borderId="12" xfId="56" applyFont="1" applyFill="1" applyBorder="1" applyAlignment="1">
      <alignment horizontal="center" wrapText="1"/>
      <protection/>
    </xf>
    <xf numFmtId="0" fontId="4" fillId="33" borderId="13" xfId="56" applyFont="1" applyFill="1" applyBorder="1" applyAlignment="1">
      <alignment horizontal="center" wrapText="1"/>
      <protection/>
    </xf>
    <xf numFmtId="0" fontId="4" fillId="33" borderId="10" xfId="56" applyFont="1" applyFill="1" applyBorder="1" applyAlignment="1">
      <alignment horizontal="center" wrapText="1"/>
      <protection/>
    </xf>
    <xf numFmtId="174" fontId="4" fillId="33" borderId="10" xfId="56" applyNumberFormat="1" applyFont="1" applyFill="1" applyBorder="1" applyAlignment="1">
      <alignment horizontal="center" vertical="center" wrapText="1"/>
      <protection/>
    </xf>
    <xf numFmtId="174" fontId="4" fillId="33" borderId="12" xfId="56" applyNumberFormat="1" applyFont="1" applyFill="1" applyBorder="1" applyAlignment="1">
      <alignment horizontal="center" vertical="center" wrapText="1"/>
      <protection/>
    </xf>
    <xf numFmtId="174" fontId="4" fillId="33" borderId="13" xfId="56" applyNumberFormat="1" applyFont="1" applyFill="1" applyBorder="1" applyAlignment="1">
      <alignment horizontal="center" vertical="center" wrapText="1"/>
      <protection/>
    </xf>
    <xf numFmtId="174" fontId="4" fillId="33" borderId="14" xfId="56" applyNumberFormat="1" applyFont="1" applyFill="1" applyBorder="1" applyAlignment="1">
      <alignment horizontal="center" vertical="center" wrapText="1"/>
      <protection/>
    </xf>
    <xf numFmtId="178" fontId="53" fillId="0" borderId="0" xfId="0" applyNumberFormat="1" applyFont="1" applyBorder="1" applyAlignment="1">
      <alignment horizontal="center" vertical="center"/>
    </xf>
    <xf numFmtId="178" fontId="52" fillId="37" borderId="0" xfId="0" applyNumberFormat="1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176" fontId="6" fillId="0" borderId="0" xfId="0" applyNumberFormat="1" applyFont="1" applyAlignment="1" applyProtection="1">
      <alignment horizontal="right"/>
      <protection locked="0"/>
    </xf>
    <xf numFmtId="0" fontId="4" fillId="0" borderId="6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177" fontId="4" fillId="0" borderId="81" xfId="46" applyNumberFormat="1" applyFont="1" applyBorder="1" applyAlignment="1">
      <alignment horizontal="center" vertical="center" wrapText="1"/>
    </xf>
    <xf numFmtId="177" fontId="4" fillId="0" borderId="82" xfId="46" applyNumberFormat="1" applyFont="1" applyBorder="1" applyAlignment="1">
      <alignment horizontal="center" vertical="center" wrapText="1"/>
    </xf>
    <xf numFmtId="177" fontId="4" fillId="0" borderId="83" xfId="46" applyNumberFormat="1" applyFont="1" applyBorder="1" applyAlignment="1">
      <alignment horizontal="center" vertical="center" wrapText="1"/>
    </xf>
    <xf numFmtId="177" fontId="4" fillId="0" borderId="86" xfId="46" applyNumberFormat="1" applyFont="1" applyBorder="1" applyAlignment="1">
      <alignment horizontal="center" vertical="center" wrapText="1"/>
    </xf>
    <xf numFmtId="177" fontId="76" fillId="0" borderId="87" xfId="46" applyNumberFormat="1" applyFont="1" applyBorder="1" applyAlignment="1">
      <alignment horizontal="center" vertical="center" wrapText="1"/>
    </xf>
    <xf numFmtId="177" fontId="76" fillId="0" borderId="85" xfId="46" applyNumberFormat="1" applyFont="1" applyBorder="1" applyAlignment="1">
      <alignment horizontal="center" vertical="center" wrapText="1"/>
    </xf>
    <xf numFmtId="177" fontId="76" fillId="0" borderId="88" xfId="46" applyNumberFormat="1" applyFont="1" applyBorder="1" applyAlignment="1">
      <alignment horizontal="center" vertical="center" wrapText="1"/>
    </xf>
    <xf numFmtId="0" fontId="76" fillId="0" borderId="89" xfId="0" applyFont="1" applyBorder="1" applyAlignment="1">
      <alignment horizontal="center" vertical="center" wrapText="1"/>
    </xf>
    <xf numFmtId="0" fontId="76" fillId="0" borderId="52" xfId="0" applyFont="1" applyBorder="1" applyAlignment="1">
      <alignment horizontal="center" vertical="center" wrapText="1"/>
    </xf>
    <xf numFmtId="177" fontId="76" fillId="0" borderId="89" xfId="46" applyNumberFormat="1" applyFont="1" applyBorder="1" applyAlignment="1">
      <alignment horizontal="left" vertical="center" wrapText="1"/>
    </xf>
    <xf numFmtId="177" fontId="76" fillId="0" borderId="52" xfId="46" applyNumberFormat="1" applyFont="1" applyBorder="1" applyAlignment="1">
      <alignment horizontal="left" vertical="center" wrapText="1"/>
    </xf>
    <xf numFmtId="177" fontId="76" fillId="0" borderId="33" xfId="46" applyNumberFormat="1" applyFont="1" applyBorder="1" applyAlignment="1">
      <alignment horizontal="center" vertical="center" wrapText="1"/>
    </xf>
    <xf numFmtId="177" fontId="76" fillId="0" borderId="13" xfId="46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76" fillId="0" borderId="73" xfId="0" applyFont="1" applyBorder="1" applyAlignment="1">
      <alignment horizontal="center" vertical="center" wrapText="1"/>
    </xf>
    <xf numFmtId="0" fontId="76" fillId="0" borderId="90" xfId="0" applyFont="1" applyBorder="1" applyAlignment="1">
      <alignment horizontal="center" vertical="center" wrapText="1"/>
    </xf>
    <xf numFmtId="173" fontId="76" fillId="0" borderId="33" xfId="46" applyFont="1" applyBorder="1" applyAlignment="1">
      <alignment horizontal="center" vertical="center" wrapText="1"/>
    </xf>
    <xf numFmtId="173" fontId="76" fillId="0" borderId="13" xfId="46" applyFont="1" applyBorder="1" applyAlignment="1">
      <alignment horizontal="center" vertical="center" wrapText="1"/>
    </xf>
    <xf numFmtId="173" fontId="76" fillId="0" borderId="34" xfId="46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91" xfId="0" applyFont="1" applyBorder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vertical="top" wrapText="1"/>
    </xf>
    <xf numFmtId="0" fontId="75" fillId="0" borderId="0" xfId="0" applyFont="1" applyAlignment="1">
      <alignment vertical="top" wrapText="1"/>
    </xf>
    <xf numFmtId="0" fontId="12" fillId="0" borderId="0" xfId="0" applyFont="1" applyAlignment="1">
      <alignment horizontal="left"/>
    </xf>
    <xf numFmtId="0" fontId="82" fillId="0" borderId="0" xfId="0" applyFont="1" applyAlignment="1">
      <alignment horizontal="center" wrapText="1"/>
    </xf>
    <xf numFmtId="0" fontId="81" fillId="0" borderId="0" xfId="0" applyFont="1" applyAlignment="1">
      <alignment horizontal="center" wrapText="1"/>
    </xf>
    <xf numFmtId="0" fontId="81" fillId="0" borderId="0" xfId="0" applyFont="1" applyAlignment="1">
      <alignment horizontal="center"/>
    </xf>
    <xf numFmtId="172" fontId="4" fillId="0" borderId="39" xfId="0" applyNumberFormat="1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172" fontId="6" fillId="0" borderId="0" xfId="0" applyNumberFormat="1" applyFont="1" applyAlignment="1">
      <alignment vertical="center"/>
    </xf>
    <xf numFmtId="0" fontId="73" fillId="0" borderId="44" xfId="0" applyFont="1" applyBorder="1" applyAlignment="1">
      <alignment horizontal="justify" vertical="center" wrapText="1"/>
    </xf>
    <xf numFmtId="37" fontId="73" fillId="0" borderId="44" xfId="0" applyNumberFormat="1" applyFont="1" applyBorder="1" applyAlignment="1">
      <alignment horizontal="center" vertical="center" wrapText="1"/>
    </xf>
    <xf numFmtId="0" fontId="73" fillId="0" borderId="44" xfId="0" applyFont="1" applyBorder="1" applyAlignment="1">
      <alignment horizontal="center" vertical="center" wrapText="1"/>
    </xf>
    <xf numFmtId="0" fontId="73" fillId="0" borderId="44" xfId="0" applyFont="1" applyBorder="1" applyAlignment="1">
      <alignment vertical="center" wrapText="1"/>
    </xf>
    <xf numFmtId="0" fontId="76" fillId="0" borderId="44" xfId="0" applyFont="1" applyBorder="1" applyAlignment="1">
      <alignment vertical="center" wrapText="1"/>
    </xf>
    <xf numFmtId="0" fontId="4" fillId="0" borderId="93" xfId="59" applyFont="1" applyBorder="1" applyAlignment="1">
      <alignment horizontal="center"/>
      <protection/>
    </xf>
    <xf numFmtId="3" fontId="4" fillId="0" borderId="94" xfId="59" applyNumberFormat="1" applyFont="1" applyBorder="1" applyAlignment="1">
      <alignment horizontal="center"/>
      <protection/>
    </xf>
    <xf numFmtId="3" fontId="4" fillId="0" borderId="95" xfId="59" applyNumberFormat="1" applyFont="1" applyBorder="1" applyAlignment="1">
      <alignment horizontal="center"/>
      <protection/>
    </xf>
    <xf numFmtId="3" fontId="4" fillId="0" borderId="96" xfId="59" applyNumberFormat="1" applyFont="1" applyBorder="1" applyAlignment="1">
      <alignment horizontal="center"/>
      <protection/>
    </xf>
    <xf numFmtId="0" fontId="6" fillId="0" borderId="97" xfId="59" applyFont="1" applyBorder="1" applyAlignment="1">
      <alignment horizontal="center" vertical="center" wrapText="1"/>
      <protection/>
    </xf>
    <xf numFmtId="0" fontId="6" fillId="0" borderId="98" xfId="59" applyFont="1" applyBorder="1" applyAlignment="1">
      <alignment horizontal="center" vertical="center" wrapText="1"/>
      <protection/>
    </xf>
    <xf numFmtId="0" fontId="6" fillId="0" borderId="99" xfId="59" applyFont="1" applyBorder="1" applyAlignment="1">
      <alignment horizontal="center" vertical="center" wrapText="1"/>
      <protection/>
    </xf>
    <xf numFmtId="0" fontId="4" fillId="0" borderId="37" xfId="59" applyFont="1" applyBorder="1" applyAlignment="1">
      <alignment horizontal="center" vertical="center" wrapText="1"/>
      <protection/>
    </xf>
    <xf numFmtId="0" fontId="4" fillId="0" borderId="51" xfId="59" applyFont="1" applyBorder="1" applyAlignment="1">
      <alignment horizontal="center" vertical="center" wrapText="1"/>
      <protection/>
    </xf>
    <xf numFmtId="175" fontId="6" fillId="0" borderId="38" xfId="59" applyNumberFormat="1" applyFont="1" applyBorder="1" applyAlignment="1">
      <alignment horizontal="center" vertical="center" wrapText="1"/>
      <protection/>
    </xf>
    <xf numFmtId="175" fontId="6" fillId="0" borderId="100" xfId="59" applyNumberFormat="1" applyFont="1" applyBorder="1" applyAlignment="1">
      <alignment horizontal="center" vertical="center" wrapText="1"/>
      <protection/>
    </xf>
    <xf numFmtId="175" fontId="6" fillId="0" borderId="101" xfId="59" applyNumberFormat="1" applyFont="1" applyBorder="1" applyAlignment="1">
      <alignment horizontal="center" vertical="center" wrapText="1"/>
      <protection/>
    </xf>
    <xf numFmtId="175" fontId="6" fillId="0" borderId="102" xfId="59" applyNumberFormat="1" applyFont="1" applyBorder="1" applyAlignment="1">
      <alignment horizontal="center" vertical="center" wrapText="1"/>
      <protection/>
    </xf>
    <xf numFmtId="175" fontId="4" fillId="0" borderId="103" xfId="59" applyNumberFormat="1" applyFont="1" applyBorder="1" applyAlignment="1">
      <alignment horizontal="center" vertical="center"/>
      <protection/>
    </xf>
    <xf numFmtId="0" fontId="4" fillId="0" borderId="104" xfId="59" applyFont="1" applyBorder="1" applyAlignment="1">
      <alignment horizontal="center" vertical="center"/>
      <protection/>
    </xf>
    <xf numFmtId="0" fontId="4" fillId="0" borderId="105" xfId="59" applyFont="1" applyBorder="1" applyAlignment="1">
      <alignment horizontal="center" vertical="center"/>
      <protection/>
    </xf>
    <xf numFmtId="175" fontId="4" fillId="0" borderId="103" xfId="59" applyNumberFormat="1" applyFont="1" applyBorder="1" applyAlignment="1">
      <alignment horizontal="center" vertical="center" wrapText="1"/>
      <protection/>
    </xf>
    <xf numFmtId="175" fontId="4" fillId="0" borderId="104" xfId="59" applyNumberFormat="1" applyFont="1" applyBorder="1" applyAlignment="1">
      <alignment horizontal="center" vertical="center" wrapText="1"/>
      <protection/>
    </xf>
    <xf numFmtId="175" fontId="4" fillId="0" borderId="106" xfId="59" applyNumberFormat="1" applyFont="1" applyBorder="1" applyAlignment="1">
      <alignment horizontal="center" vertical="center" wrapText="1"/>
      <protection/>
    </xf>
    <xf numFmtId="0" fontId="13" fillId="37" borderId="107" xfId="59" applyFont="1" applyFill="1" applyBorder="1" applyAlignment="1">
      <alignment horizontal="center" vertical="center" wrapText="1"/>
      <protection/>
    </xf>
    <xf numFmtId="0" fontId="13" fillId="37" borderId="108" xfId="59" applyFont="1" applyFill="1" applyBorder="1" applyAlignment="1">
      <alignment horizontal="center" vertical="center" wrapText="1"/>
      <protection/>
    </xf>
    <xf numFmtId="0" fontId="13" fillId="37" borderId="109" xfId="59" applyFont="1" applyFill="1" applyBorder="1" applyAlignment="1">
      <alignment horizontal="center" vertical="center" wrapText="1"/>
      <protection/>
    </xf>
    <xf numFmtId="0" fontId="13" fillId="37" borderId="94" xfId="59" applyFont="1" applyFill="1" applyBorder="1" applyAlignment="1">
      <alignment horizontal="center" vertical="center" wrapText="1"/>
      <protection/>
    </xf>
    <xf numFmtId="0" fontId="13" fillId="37" borderId="95" xfId="59" applyFont="1" applyFill="1" applyBorder="1" applyAlignment="1">
      <alignment horizontal="center" vertical="center" wrapText="1"/>
      <protection/>
    </xf>
    <xf numFmtId="0" fontId="13" fillId="37" borderId="96" xfId="59" applyFont="1" applyFill="1" applyBorder="1" applyAlignment="1">
      <alignment horizontal="center" vertical="center" wrapText="1"/>
      <protection/>
    </xf>
    <xf numFmtId="0" fontId="4" fillId="0" borderId="49" xfId="59" applyFont="1" applyBorder="1" applyAlignment="1">
      <alignment horizontal="center" vertical="center" wrapText="1"/>
      <protection/>
    </xf>
    <xf numFmtId="0" fontId="4" fillId="0" borderId="110" xfId="59" applyFont="1" applyBorder="1" applyAlignment="1">
      <alignment horizontal="center" vertical="center" wrapText="1"/>
      <protection/>
    </xf>
    <xf numFmtId="0" fontId="4" fillId="0" borderId="38" xfId="59" applyFont="1" applyBorder="1" applyAlignment="1">
      <alignment horizontal="center" vertical="center" wrapText="1"/>
      <protection/>
    </xf>
    <xf numFmtId="0" fontId="4" fillId="0" borderId="100" xfId="59" applyFont="1" applyBorder="1" applyAlignment="1">
      <alignment horizontal="center" vertical="center" wrapText="1"/>
      <protection/>
    </xf>
    <xf numFmtId="0" fontId="4" fillId="0" borderId="101" xfId="59" applyFont="1" applyBorder="1" applyAlignment="1">
      <alignment horizontal="center" vertical="center" wrapText="1"/>
      <protection/>
    </xf>
    <xf numFmtId="0" fontId="4" fillId="0" borderId="102" xfId="59" applyFont="1" applyBorder="1" applyAlignment="1">
      <alignment horizontal="center" vertical="center" wrapText="1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_12dmelléklet" xfId="58"/>
    <cellStyle name="Normál_melléklet (11)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SEG&#201;DT&#193;BL&#193;K%20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&#214;LTS&#201;GVET&#201;S%20TERVEZET%202021\2021.%20&#233;v\Seg&#233;dt&#225;bl&#225;k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93;GICA.&#193;GICA-DELL\Downloads\SEG&#201;DT&#193;BL&#193;K%202022_megjegyz&#233;sekkel%200120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93;GICA.&#193;GICA-DELL\Downloads\SEG&#201;DT&#193;BL&#193;K%202022_megjegyz&#233;sekkel%200127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93;GICA.&#193;GICA-DELL\Downloads\SEG&#201;DT&#193;BL&#193;K%202022_megjegyz&#233;sekkel%20013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SEG&#201;DT&#193;BL&#193;K%202022_megjegyz&#233;sekkel%20020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926b6d7aa5354de0/Dokumentumok/SEG&#201;DT&#193;BL&#193;K%202022_megjegyz&#233;sekkel%200203b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INetCache\Content.Outlook\A9T7GTW5\SEG&#201;DT&#193;BL&#193;K%202022_megjegyz&#233;sekkel%200203caf200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Bev.Óvoda"/>
      <sheetName val="Önk."/>
      <sheetName val="Bev.Könyv."/>
      <sheetName val="Szoc."/>
      <sheetName val="Támogatás"/>
      <sheetName val="Beruházás"/>
      <sheetName val="Hiv."/>
      <sheetName val="Ovi"/>
      <sheetName val="Könyvtár"/>
      <sheetName val="Összesítő"/>
      <sheetName val="Mérleg"/>
      <sheetName val="Tervezett"/>
      <sheetName val="Közvetett támogatások"/>
      <sheetName val="Felh."/>
      <sheetName val="Több éves kihatás"/>
      <sheetName val="Köt.önk.váll."/>
      <sheetName val="Adósság"/>
      <sheetName val="EU"/>
    </sheetNames>
    <sheetDataSet>
      <sheetData sheetId="0">
        <row r="88">
          <cell r="F88">
            <v>3687509</v>
          </cell>
        </row>
        <row r="89">
          <cell r="F89">
            <v>1000000</v>
          </cell>
        </row>
        <row r="95">
          <cell r="F95">
            <v>45000000</v>
          </cell>
        </row>
      </sheetData>
      <sheetData sheetId="6">
        <row r="52">
          <cell r="D52">
            <v>6000000</v>
          </cell>
        </row>
      </sheetData>
      <sheetData sheetId="10">
        <row r="45">
          <cell r="I45">
            <v>10000</v>
          </cell>
        </row>
        <row r="46">
          <cell r="I46">
            <v>36000</v>
          </cell>
        </row>
        <row r="47">
          <cell r="I47">
            <v>10000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Bev.Óvoda"/>
      <sheetName val="Bev.Könyv."/>
      <sheetName val="Önk."/>
      <sheetName val="Szoc."/>
      <sheetName val="Támogatás"/>
      <sheetName val="Beruházás"/>
      <sheetName val="Hiv."/>
      <sheetName val="Ovi"/>
      <sheetName val="Könyvtár"/>
      <sheetName val="Összesítő"/>
      <sheetName val="Mérleg"/>
      <sheetName val="Tervezett"/>
      <sheetName val="Közvetett támogatások"/>
      <sheetName val="Felh."/>
      <sheetName val="Több éves kihatás"/>
      <sheetName val="Köt.önk.váll."/>
      <sheetName val="Adósság"/>
      <sheetName val="EU"/>
    </sheetNames>
    <sheetDataSet>
      <sheetData sheetId="0">
        <row r="96">
          <cell r="F9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Bev.Óvoda"/>
      <sheetName val="Bev.Bölcsi"/>
      <sheetName val="Bev.Könyv."/>
      <sheetName val="Önk.j"/>
      <sheetName val="Szoc."/>
      <sheetName val="Támogatás"/>
      <sheetName val="Beruházás"/>
      <sheetName val="Hiv."/>
      <sheetName val="Ovi"/>
      <sheetName val="Bölcsi"/>
      <sheetName val="Könyvtár"/>
    </sheetNames>
    <sheetDataSet>
      <sheetData sheetId="2">
        <row r="39">
          <cell r="E39">
            <v>14656003.937007874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Bev.Óvoda"/>
      <sheetName val="Bev.Bölcsi"/>
      <sheetName val="Bev.Könyv."/>
      <sheetName val="Önk.j"/>
      <sheetName val="Szoc."/>
      <sheetName val="Támogatás"/>
      <sheetName val="Beruházás"/>
      <sheetName val="Hiv."/>
      <sheetName val="SZLK"/>
      <sheetName val="Ovi"/>
      <sheetName val="Bölcsi"/>
      <sheetName val="Könyvtár"/>
      <sheetName val="Munka1"/>
    </sheetNames>
    <sheetDataSet>
      <sheetData sheetId="0">
        <row r="29">
          <cell r="E29">
            <v>13000000</v>
          </cell>
        </row>
        <row r="87">
          <cell r="F87">
            <v>600000</v>
          </cell>
        </row>
        <row r="96">
          <cell r="F96">
            <v>45000000</v>
          </cell>
        </row>
        <row r="103">
          <cell r="F103">
            <v>1000000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Bev.Óvoda"/>
      <sheetName val="Bev.Bölcsi"/>
      <sheetName val="Bev.Könyv."/>
      <sheetName val="Önk.j"/>
      <sheetName val="Szoc."/>
      <sheetName val="Támogatás"/>
      <sheetName val="Beruházás"/>
      <sheetName val="Hiv."/>
      <sheetName val="SZLK"/>
      <sheetName val="Ovi"/>
      <sheetName val="Bölcsi"/>
      <sheetName val="Könyvtár"/>
    </sheetNames>
    <sheetDataSet>
      <sheetData sheetId="11">
        <row r="87">
          <cell r="I87">
            <v>300000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Bev.Óvoda"/>
      <sheetName val="Bev.Bölcsi"/>
      <sheetName val="Bev.Könyv."/>
      <sheetName val="Önk.j"/>
      <sheetName val="Szoc."/>
      <sheetName val="Támogatás"/>
      <sheetName val="Beruházás"/>
      <sheetName val="Hiv."/>
      <sheetName val="SZLK"/>
      <sheetName val="Ovi"/>
      <sheetName val="Bölcsi"/>
      <sheetName val="Könyvtár"/>
    </sheetNames>
    <sheetDataSet>
      <sheetData sheetId="5">
        <row r="216">
          <cell r="F216">
            <v>0</v>
          </cell>
        </row>
        <row r="234">
          <cell r="F234">
            <v>1200000</v>
          </cell>
        </row>
      </sheetData>
      <sheetData sheetId="9">
        <row r="85">
          <cell r="I85">
            <v>407500</v>
          </cell>
        </row>
        <row r="88">
          <cell r="I88">
            <v>0</v>
          </cell>
        </row>
        <row r="89">
          <cell r="I89">
            <v>1234620</v>
          </cell>
        </row>
        <row r="90">
          <cell r="I90">
            <v>1000000</v>
          </cell>
        </row>
        <row r="91">
          <cell r="I91">
            <v>864000</v>
          </cell>
        </row>
        <row r="92">
          <cell r="I92">
            <v>50000</v>
          </cell>
        </row>
        <row r="103">
          <cell r="I103">
            <v>4947000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Bev.Hiv."/>
      <sheetName val="Hiv."/>
      <sheetName val="SZLK"/>
      <sheetName val="Bev.Óvoda"/>
      <sheetName val="Bev.Bölcsi"/>
      <sheetName val="Bev.Könyv."/>
      <sheetName val="Önk.j"/>
      <sheetName val="Beruházás"/>
      <sheetName val="Szoc."/>
      <sheetName val="Támogatás"/>
      <sheetName val="Ovi"/>
      <sheetName val="Bölcsi"/>
      <sheetName val="Könyvtár"/>
    </sheetNames>
    <sheetDataSet>
      <sheetData sheetId="2">
        <row r="94">
          <cell r="I94">
            <v>400000</v>
          </cell>
        </row>
        <row r="95">
          <cell r="I95">
            <v>1650000</v>
          </cell>
        </row>
        <row r="96">
          <cell r="I96">
            <v>700000</v>
          </cell>
        </row>
        <row r="97">
          <cell r="I97">
            <v>450000</v>
          </cell>
        </row>
        <row r="98">
          <cell r="I98">
            <v>2000000</v>
          </cell>
        </row>
        <row r="99">
          <cell r="I99">
            <v>2000000</v>
          </cell>
        </row>
        <row r="100">
          <cell r="I100">
            <v>800000</v>
          </cell>
        </row>
        <row r="101">
          <cell r="I101">
            <v>200000</v>
          </cell>
        </row>
        <row r="102">
          <cell r="I102">
            <v>1675000</v>
          </cell>
        </row>
        <row r="104">
          <cell r="I104">
            <v>1000000</v>
          </cell>
        </row>
        <row r="105">
          <cell r="I105">
            <v>400000</v>
          </cell>
        </row>
        <row r="106">
          <cell r="I106">
            <v>378000</v>
          </cell>
        </row>
      </sheetData>
      <sheetData sheetId="3">
        <row r="18">
          <cell r="R18">
            <v>405000</v>
          </cell>
        </row>
        <row r="20">
          <cell r="R20">
            <v>1126025</v>
          </cell>
        </row>
        <row r="21">
          <cell r="R21">
            <v>341620</v>
          </cell>
        </row>
      </sheetData>
      <sheetData sheetId="4">
        <row r="40">
          <cell r="E40">
            <v>14585386.61417323</v>
          </cell>
        </row>
      </sheetData>
      <sheetData sheetId="11">
        <row r="77">
          <cell r="I77">
            <v>5963224</v>
          </cell>
        </row>
        <row r="79">
          <cell r="I79">
            <v>0</v>
          </cell>
        </row>
        <row r="81">
          <cell r="I81">
            <v>0</v>
          </cell>
        </row>
        <row r="88">
          <cell r="I88">
            <v>6300000</v>
          </cell>
        </row>
        <row r="90">
          <cell r="I90">
            <v>4611760</v>
          </cell>
        </row>
        <row r="92">
          <cell r="I92">
            <v>28500</v>
          </cell>
        </row>
        <row r="98">
          <cell r="I98">
            <v>6784000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ev.Önk."/>
      <sheetName val="Önk.A"/>
      <sheetName val="Önk.B"/>
      <sheetName val="Önk.C"/>
      <sheetName val="Bev.Hiv."/>
      <sheetName val="Hiv."/>
      <sheetName val="SZLK"/>
      <sheetName val="Beruházás"/>
      <sheetName val="Szoc."/>
      <sheetName val="Támogatás"/>
      <sheetName val="Bev.Óvoda"/>
      <sheetName val="Ovi"/>
      <sheetName val="Bev.Bölcsi"/>
      <sheetName val="Bölcsi"/>
      <sheetName val="Bev.Könyv."/>
      <sheetName val="Könyvtár"/>
    </sheetNames>
    <sheetDataSet>
      <sheetData sheetId="0">
        <row r="103">
          <cell r="F103">
            <v>14200000</v>
          </cell>
        </row>
        <row r="105">
          <cell r="F105">
            <v>4009500</v>
          </cell>
        </row>
        <row r="106">
          <cell r="F106">
            <v>5785000</v>
          </cell>
        </row>
      </sheetData>
      <sheetData sheetId="1">
        <row r="219">
          <cell r="F219">
            <v>77691681</v>
          </cell>
        </row>
        <row r="220">
          <cell r="F220">
            <v>1764000</v>
          </cell>
        </row>
        <row r="221">
          <cell r="F221">
            <v>201600</v>
          </cell>
        </row>
        <row r="223">
          <cell r="F223">
            <v>23378060.5</v>
          </cell>
        </row>
        <row r="224">
          <cell r="F224">
            <v>932000</v>
          </cell>
        </row>
        <row r="225">
          <cell r="F225">
            <v>400000</v>
          </cell>
        </row>
        <row r="226">
          <cell r="F226">
            <v>12435761.185000002</v>
          </cell>
        </row>
        <row r="227">
          <cell r="F227">
            <v>220000</v>
          </cell>
        </row>
        <row r="228">
          <cell r="F228">
            <v>24500000</v>
          </cell>
        </row>
        <row r="229">
          <cell r="F229">
            <v>860000</v>
          </cell>
        </row>
        <row r="230">
          <cell r="F230">
            <v>1130000</v>
          </cell>
        </row>
        <row r="231">
          <cell r="F231">
            <v>16470000</v>
          </cell>
        </row>
        <row r="232">
          <cell r="F232">
            <v>1050000</v>
          </cell>
        </row>
        <row r="233">
          <cell r="F233">
            <v>26985000</v>
          </cell>
        </row>
        <row r="234">
          <cell r="F234">
            <v>25400000</v>
          </cell>
        </row>
        <row r="235">
          <cell r="F235">
            <v>22495050</v>
          </cell>
        </row>
        <row r="239">
          <cell r="F239">
            <v>1044278</v>
          </cell>
        </row>
        <row r="241">
          <cell r="F241">
            <v>990000</v>
          </cell>
        </row>
      </sheetData>
      <sheetData sheetId="5">
        <row r="72">
          <cell r="Q72">
            <v>5515980</v>
          </cell>
        </row>
        <row r="84">
          <cell r="I84">
            <v>106198548</v>
          </cell>
        </row>
        <row r="93">
          <cell r="I93">
            <v>15968584.115</v>
          </cell>
        </row>
      </sheetData>
      <sheetData sheetId="6">
        <row r="17">
          <cell r="R17">
            <v>33656600</v>
          </cell>
        </row>
        <row r="22">
          <cell r="R22">
            <v>4409134</v>
          </cell>
        </row>
      </sheetData>
      <sheetData sheetId="7">
        <row r="42">
          <cell r="I42">
            <v>64147956</v>
          </cell>
        </row>
        <row r="48">
          <cell r="E48">
            <v>55670636</v>
          </cell>
        </row>
        <row r="49">
          <cell r="E49">
            <v>22275210.787401576</v>
          </cell>
        </row>
        <row r="50">
          <cell r="E50">
            <v>48091206.68661417</v>
          </cell>
        </row>
        <row r="51">
          <cell r="E51">
            <v>10788318.478065241</v>
          </cell>
        </row>
        <row r="52">
          <cell r="E52">
            <v>2912845.9890776156</v>
          </cell>
        </row>
      </sheetData>
      <sheetData sheetId="11">
        <row r="94">
          <cell r="I94">
            <v>322834.6456692913</v>
          </cell>
        </row>
        <row r="96">
          <cell r="I96">
            <v>3430078.7401574804</v>
          </cell>
        </row>
        <row r="97">
          <cell r="I97">
            <v>1013286.6141732284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27">
      <selection activeCell="L39" sqref="L39"/>
    </sheetView>
  </sheetViews>
  <sheetFormatPr defaultColWidth="9.140625" defaultRowHeight="15"/>
  <cols>
    <col min="2" max="2" width="36.57421875" style="0" customWidth="1"/>
    <col min="6" max="6" width="9.421875" style="0" customWidth="1"/>
    <col min="7" max="7" width="15.8515625" style="358" bestFit="1" customWidth="1"/>
    <col min="8" max="8" width="10.8515625" style="358" bestFit="1" customWidth="1"/>
    <col min="9" max="9" width="10.140625" style="358" bestFit="1" customWidth="1"/>
    <col min="10" max="10" width="9.140625" style="358" customWidth="1"/>
    <col min="12" max="12" width="10.8515625" style="0" bestFit="1" customWidth="1"/>
  </cols>
  <sheetData>
    <row r="1" spans="1:10" ht="15">
      <c r="A1" s="549" t="s">
        <v>422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5">
      <c r="A2" s="1"/>
      <c r="B2" s="1"/>
      <c r="C2" s="1"/>
      <c r="D2" s="1"/>
      <c r="E2" s="1"/>
      <c r="F2" s="1"/>
      <c r="G2" s="318"/>
      <c r="H2" s="319"/>
      <c r="I2" s="319"/>
      <c r="J2" s="319"/>
    </row>
    <row r="3" spans="1:10" ht="15.75">
      <c r="A3" s="550" t="s">
        <v>1</v>
      </c>
      <c r="B3" s="550"/>
      <c r="C3" s="550"/>
      <c r="D3" s="550"/>
      <c r="E3" s="550"/>
      <c r="F3" s="550"/>
      <c r="G3" s="550"/>
      <c r="H3" s="319"/>
      <c r="I3" s="319"/>
      <c r="J3" s="319"/>
    </row>
    <row r="4" spans="1:10" ht="15.75">
      <c r="A4" s="551" t="s">
        <v>421</v>
      </c>
      <c r="B4" s="552"/>
      <c r="C4" s="552"/>
      <c r="D4" s="552"/>
      <c r="E4" s="552"/>
      <c r="F4" s="552"/>
      <c r="G4" s="552"/>
      <c r="H4" s="319"/>
      <c r="I4" s="319"/>
      <c r="J4" s="319"/>
    </row>
    <row r="5" spans="1:10" ht="15">
      <c r="A5" s="537" t="s">
        <v>3</v>
      </c>
      <c r="B5" s="538" t="s">
        <v>4</v>
      </c>
      <c r="C5" s="539" t="s">
        <v>5</v>
      </c>
      <c r="D5" s="539"/>
      <c r="E5" s="539"/>
      <c r="F5" s="539"/>
      <c r="G5" s="546" t="s">
        <v>144</v>
      </c>
      <c r="H5" s="553" t="s">
        <v>7</v>
      </c>
      <c r="I5" s="554"/>
      <c r="J5" s="555"/>
    </row>
    <row r="6" spans="1:10" ht="38.25">
      <c r="A6" s="537"/>
      <c r="B6" s="538"/>
      <c r="C6" s="539"/>
      <c r="D6" s="539"/>
      <c r="E6" s="539"/>
      <c r="F6" s="539"/>
      <c r="G6" s="546"/>
      <c r="H6" s="4" t="s">
        <v>8</v>
      </c>
      <c r="I6" s="4" t="s">
        <v>9</v>
      </c>
      <c r="J6" s="4" t="s">
        <v>10</v>
      </c>
    </row>
    <row r="7" spans="1:10" ht="25.5">
      <c r="A7" s="5" t="s">
        <v>11</v>
      </c>
      <c r="B7" s="6" t="s">
        <v>156</v>
      </c>
      <c r="C7" s="543" t="s">
        <v>157</v>
      </c>
      <c r="D7" s="543"/>
      <c r="E7" s="543"/>
      <c r="F7" s="543"/>
      <c r="G7" s="20">
        <f>203690341+1036753+2720125+1857715</f>
        <v>209304934</v>
      </c>
      <c r="H7" s="20">
        <f>G7</f>
        <v>209304934</v>
      </c>
      <c r="I7" s="189"/>
      <c r="J7" s="189"/>
    </row>
    <row r="8" spans="1:10" ht="25.5">
      <c r="A8" s="5" t="s">
        <v>14</v>
      </c>
      <c r="B8" s="10" t="s">
        <v>158</v>
      </c>
      <c r="C8" s="543" t="s">
        <v>159</v>
      </c>
      <c r="D8" s="543"/>
      <c r="E8" s="543"/>
      <c r="F8" s="543"/>
      <c r="G8" s="20">
        <f>126082200+3300000+5940720+214140+5390000</f>
        <v>140927060</v>
      </c>
      <c r="H8" s="20">
        <f aca="true" t="shared" si="0" ref="H8:H13">G8</f>
        <v>140927060</v>
      </c>
      <c r="I8" s="189"/>
      <c r="J8" s="189"/>
    </row>
    <row r="9" spans="1:10" ht="38.25">
      <c r="A9" s="5" t="s">
        <v>17</v>
      </c>
      <c r="B9" s="10" t="s">
        <v>160</v>
      </c>
      <c r="C9" s="543" t="s">
        <v>161</v>
      </c>
      <c r="D9" s="543"/>
      <c r="E9" s="543"/>
      <c r="F9" s="543"/>
      <c r="G9" s="20">
        <f>30945273+6002416+5812900+1178100+312000+492000+5515980</f>
        <v>50258669</v>
      </c>
      <c r="H9" s="20">
        <v>0</v>
      </c>
      <c r="I9" s="189"/>
      <c r="J9" s="189"/>
    </row>
    <row r="10" spans="1:10" ht="38.25">
      <c r="A10" s="5" t="s">
        <v>20</v>
      </c>
      <c r="B10" s="10" t="s">
        <v>162</v>
      </c>
      <c r="C10" s="540" t="s">
        <v>163</v>
      </c>
      <c r="D10" s="547"/>
      <c r="E10" s="547"/>
      <c r="F10" s="548"/>
      <c r="G10" s="20">
        <f>42947075+786600+1983744</f>
        <v>45717419</v>
      </c>
      <c r="H10" s="20">
        <v>0</v>
      </c>
      <c r="I10" s="189"/>
      <c r="J10" s="189"/>
    </row>
    <row r="11" spans="1:10" ht="38.25">
      <c r="A11" s="5" t="s">
        <v>23</v>
      </c>
      <c r="B11" s="10" t="s">
        <v>164</v>
      </c>
      <c r="C11" s="540" t="s">
        <v>165</v>
      </c>
      <c r="D11" s="547"/>
      <c r="E11" s="547"/>
      <c r="F11" s="548"/>
      <c r="G11" s="20"/>
      <c r="H11" s="20">
        <f>G9+G10</f>
        <v>95976088</v>
      </c>
      <c r="I11" s="189"/>
      <c r="J11" s="189"/>
    </row>
    <row r="12" spans="1:10" ht="25.5">
      <c r="A12" s="5" t="s">
        <v>26</v>
      </c>
      <c r="B12" s="10" t="s">
        <v>166</v>
      </c>
      <c r="C12" s="543" t="s">
        <v>167</v>
      </c>
      <c r="D12" s="543"/>
      <c r="E12" s="543"/>
      <c r="F12" s="543"/>
      <c r="G12" s="20">
        <f>11157946</f>
        <v>11157946</v>
      </c>
      <c r="H12" s="20">
        <f t="shared" si="0"/>
        <v>11157946</v>
      </c>
      <c r="I12" s="189"/>
      <c r="J12" s="189"/>
    </row>
    <row r="13" spans="1:10" ht="38.25">
      <c r="A13" s="5" t="s">
        <v>29</v>
      </c>
      <c r="B13" s="380" t="s">
        <v>424</v>
      </c>
      <c r="C13" s="543" t="s">
        <v>423</v>
      </c>
      <c r="D13" s="543"/>
      <c r="E13" s="543"/>
      <c r="F13" s="543"/>
      <c r="G13" s="20">
        <f>'önkorm.bev'!G13</f>
        <v>15000000</v>
      </c>
      <c r="H13" s="20">
        <f t="shared" si="0"/>
        <v>15000000</v>
      </c>
      <c r="I13" s="189"/>
      <c r="J13" s="189"/>
    </row>
    <row r="14" spans="1:10" ht="25.5">
      <c r="A14" s="5" t="s">
        <v>32</v>
      </c>
      <c r="B14" s="10" t="s">
        <v>170</v>
      </c>
      <c r="C14" s="543" t="s">
        <v>171</v>
      </c>
      <c r="D14" s="543"/>
      <c r="E14" s="543"/>
      <c r="F14" s="543"/>
      <c r="G14" s="20">
        <f>'önkorm.bev'!G14</f>
        <v>78048458</v>
      </c>
      <c r="H14" s="20">
        <f>G14</f>
        <v>78048458</v>
      </c>
      <c r="I14" s="189"/>
      <c r="J14" s="189"/>
    </row>
    <row r="15" spans="1:10" ht="25.5">
      <c r="A15" s="13" t="s">
        <v>35</v>
      </c>
      <c r="B15" s="14" t="s">
        <v>172</v>
      </c>
      <c r="C15" s="535" t="s">
        <v>173</v>
      </c>
      <c r="D15" s="535"/>
      <c r="E15" s="535"/>
      <c r="F15" s="535"/>
      <c r="G15" s="18">
        <f>SUM(G7:G14)</f>
        <v>550414486</v>
      </c>
      <c r="H15" s="18">
        <f>SUM(H7:H14)</f>
        <v>550414486</v>
      </c>
      <c r="I15" s="18">
        <f>SUM(I7:I14)</f>
        <v>0</v>
      </c>
      <c r="J15" s="18">
        <f>SUM(J7:J14)</f>
        <v>0</v>
      </c>
    </row>
    <row r="16" spans="1:10" ht="25.5">
      <c r="A16" s="5" t="s">
        <v>38</v>
      </c>
      <c r="B16" s="10" t="s">
        <v>174</v>
      </c>
      <c r="C16" s="543" t="s">
        <v>175</v>
      </c>
      <c r="D16" s="543"/>
      <c r="E16" s="543"/>
      <c r="F16" s="543"/>
      <c r="G16" s="20">
        <v>11328185</v>
      </c>
      <c r="H16" s="20">
        <v>11328185</v>
      </c>
      <c r="I16" s="320"/>
      <c r="J16" s="320"/>
    </row>
    <row r="17" spans="1:10" ht="25.5">
      <c r="A17" s="13" t="s">
        <v>41</v>
      </c>
      <c r="B17" s="14" t="s">
        <v>176</v>
      </c>
      <c r="C17" s="535" t="s">
        <v>177</v>
      </c>
      <c r="D17" s="535"/>
      <c r="E17" s="535"/>
      <c r="F17" s="535"/>
      <c r="G17" s="18">
        <f>G16</f>
        <v>11328185</v>
      </c>
      <c r="H17" s="18">
        <f>H16</f>
        <v>11328185</v>
      </c>
      <c r="I17" s="18">
        <f>I16</f>
        <v>0</v>
      </c>
      <c r="J17" s="18">
        <f>J16</f>
        <v>0</v>
      </c>
    </row>
    <row r="18" spans="1:10" ht="15">
      <c r="A18" s="5" t="s">
        <v>44</v>
      </c>
      <c r="B18" s="10" t="s">
        <v>178</v>
      </c>
      <c r="C18" s="543" t="s">
        <v>179</v>
      </c>
      <c r="D18" s="543"/>
      <c r="E18" s="543"/>
      <c r="F18" s="543"/>
      <c r="G18" s="20">
        <v>13000000</v>
      </c>
      <c r="H18" s="322">
        <f>G18</f>
        <v>13000000</v>
      </c>
      <c r="I18" s="189"/>
      <c r="J18" s="189"/>
    </row>
    <row r="19" spans="1:10" ht="15">
      <c r="A19" s="5" t="s">
        <v>47</v>
      </c>
      <c r="B19" s="10" t="s">
        <v>180</v>
      </c>
      <c r="C19" s="543" t="s">
        <v>181</v>
      </c>
      <c r="D19" s="543"/>
      <c r="E19" s="543"/>
      <c r="F19" s="543"/>
      <c r="G19" s="20">
        <f>'[1]Bev.Önk.'!$F$95</f>
        <v>45000000</v>
      </c>
      <c r="H19" s="322">
        <f>G19</f>
        <v>45000000</v>
      </c>
      <c r="I19" s="189"/>
      <c r="J19" s="189"/>
    </row>
    <row r="20" spans="1:10" ht="15">
      <c r="A20" s="5" t="s">
        <v>50</v>
      </c>
      <c r="B20" s="10" t="s">
        <v>182</v>
      </c>
      <c r="C20" s="543" t="s">
        <v>183</v>
      </c>
      <c r="D20" s="543"/>
      <c r="E20" s="543"/>
      <c r="F20" s="543"/>
      <c r="G20" s="20">
        <f>'[2]Bev.Önk.'!$F$96</f>
        <v>0</v>
      </c>
      <c r="H20" s="322">
        <f>G20</f>
        <v>0</v>
      </c>
      <c r="I20" s="189"/>
      <c r="J20" s="189"/>
    </row>
    <row r="21" spans="1:10" ht="15">
      <c r="A21" s="5" t="s">
        <v>53</v>
      </c>
      <c r="B21" s="10" t="s">
        <v>184</v>
      </c>
      <c r="C21" s="543" t="s">
        <v>185</v>
      </c>
      <c r="D21" s="543"/>
      <c r="E21" s="543"/>
      <c r="F21" s="543"/>
      <c r="G21" s="20">
        <v>600000</v>
      </c>
      <c r="H21" s="322">
        <f>G21</f>
        <v>600000</v>
      </c>
      <c r="I21" s="189"/>
      <c r="J21" s="189"/>
    </row>
    <row r="22" spans="1:10" ht="15">
      <c r="A22" s="13" t="s">
        <v>56</v>
      </c>
      <c r="B22" s="14" t="s">
        <v>186</v>
      </c>
      <c r="C22" s="535" t="s">
        <v>187</v>
      </c>
      <c r="D22" s="535"/>
      <c r="E22" s="535"/>
      <c r="F22" s="535"/>
      <c r="G22" s="18">
        <f>SUM(G18:G21)</f>
        <v>58600000</v>
      </c>
      <c r="H22" s="18">
        <f>SUM(H18:H21)</f>
        <v>58600000</v>
      </c>
      <c r="I22" s="18">
        <f>SUM(I18:I21)</f>
        <v>0</v>
      </c>
      <c r="J22" s="18">
        <f>SUM(J18:J21)</f>
        <v>0</v>
      </c>
    </row>
    <row r="23" spans="1:12" ht="15">
      <c r="A23" s="5" t="s">
        <v>59</v>
      </c>
      <c r="B23" s="19" t="s">
        <v>188</v>
      </c>
      <c r="C23" s="543" t="s">
        <v>189</v>
      </c>
      <c r="D23" s="543"/>
      <c r="E23" s="543"/>
      <c r="F23" s="543"/>
      <c r="G23" s="20">
        <f>'önkorm.bev'!G23+'Hivatal bevétel'!G23+'Óvoda bev.'!G23+'Könyvtár bev.'!G23</f>
        <v>6000000</v>
      </c>
      <c r="H23" s="189"/>
      <c r="I23" s="322">
        <f aca="true" t="shared" si="1" ref="I23:I28">G23</f>
        <v>6000000</v>
      </c>
      <c r="J23" s="189"/>
      <c r="L23" s="56"/>
    </row>
    <row r="24" spans="1:12" ht="15">
      <c r="A24" s="5" t="s">
        <v>62</v>
      </c>
      <c r="B24" s="19" t="s">
        <v>190</v>
      </c>
      <c r="C24" s="543" t="s">
        <v>191</v>
      </c>
      <c r="D24" s="543"/>
      <c r="E24" s="543"/>
      <c r="F24" s="543"/>
      <c r="G24" s="20">
        <f>'önkorm.bev'!G24+'Hivatal bevétel'!G24+'Óvoda bev.'!G24+'Könyvtár bev.'!G24</f>
        <v>15631593.937007874</v>
      </c>
      <c r="H24" s="189"/>
      <c r="I24" s="322">
        <f t="shared" si="1"/>
        <v>15631593.937007874</v>
      </c>
      <c r="J24" s="189"/>
      <c r="L24" s="56"/>
    </row>
    <row r="25" spans="1:12" ht="15">
      <c r="A25" s="5" t="s">
        <v>65</v>
      </c>
      <c r="B25" s="19" t="s">
        <v>192</v>
      </c>
      <c r="C25" s="543" t="s">
        <v>193</v>
      </c>
      <c r="D25" s="543"/>
      <c r="E25" s="543"/>
      <c r="F25" s="543"/>
      <c r="G25" s="20">
        <f>'önkorm.bev'!G25+'Hivatal bevétel'!G25+'Óvoda bev.'!G25+'Könyvtár bev.'!G25</f>
        <v>2000000</v>
      </c>
      <c r="H25" s="189"/>
      <c r="I25" s="322">
        <f t="shared" si="1"/>
        <v>2000000</v>
      </c>
      <c r="J25" s="189"/>
      <c r="L25" s="56"/>
    </row>
    <row r="26" spans="1:12" ht="15">
      <c r="A26" s="5" t="s">
        <v>68</v>
      </c>
      <c r="B26" s="19" t="s">
        <v>194</v>
      </c>
      <c r="C26" s="543" t="s">
        <v>195</v>
      </c>
      <c r="D26" s="543"/>
      <c r="E26" s="543"/>
      <c r="F26" s="543"/>
      <c r="G26" s="20">
        <f>'önkorm.bev'!G26+'Hivatal bevétel'!G26+'Óvoda bev.'!G26+'Könyvtár bev.'!G26</f>
        <v>14200000</v>
      </c>
      <c r="H26" s="189"/>
      <c r="I26" s="322">
        <f t="shared" si="1"/>
        <v>14200000</v>
      </c>
      <c r="J26" s="189"/>
      <c r="L26" s="56"/>
    </row>
    <row r="27" spans="1:12" ht="15">
      <c r="A27" s="5" t="s">
        <v>71</v>
      </c>
      <c r="B27" s="19" t="s">
        <v>196</v>
      </c>
      <c r="C27" s="543" t="s">
        <v>197</v>
      </c>
      <c r="D27" s="543"/>
      <c r="E27" s="543"/>
      <c r="F27" s="543"/>
      <c r="G27" s="20">
        <f>'önkorm.bev'!G27+'Hivatal bevétel'!G27+'Óvoda bev.'!G27+'Könyvtár bev.'!G27</f>
        <v>15585386.61417323</v>
      </c>
      <c r="H27" s="189"/>
      <c r="I27" s="322">
        <f t="shared" si="1"/>
        <v>15585386.61417323</v>
      </c>
      <c r="J27" s="189"/>
      <c r="L27" s="56"/>
    </row>
    <row r="28" spans="1:12" ht="15">
      <c r="A28" s="5" t="s">
        <v>74</v>
      </c>
      <c r="B28" s="19" t="s">
        <v>198</v>
      </c>
      <c r="C28" s="543" t="s">
        <v>199</v>
      </c>
      <c r="D28" s="543"/>
      <c r="E28" s="543"/>
      <c r="F28" s="543"/>
      <c r="G28" s="20">
        <f>'önkorm.bev'!G28+'Hivatal bevétel'!G28+'Óvoda bev.'!G28+'Könyvtár bev.'!G28</f>
        <v>11979085.7488189</v>
      </c>
      <c r="H28" s="189"/>
      <c r="I28" s="322">
        <f t="shared" si="1"/>
        <v>11979085.7488189</v>
      </c>
      <c r="J28" s="189"/>
      <c r="L28" s="56"/>
    </row>
    <row r="29" spans="1:12" ht="15">
      <c r="A29" s="13" t="s">
        <v>77</v>
      </c>
      <c r="B29" s="39" t="s">
        <v>200</v>
      </c>
      <c r="C29" s="535" t="s">
        <v>201</v>
      </c>
      <c r="D29" s="535"/>
      <c r="E29" s="535"/>
      <c r="F29" s="535"/>
      <c r="G29" s="18">
        <f>SUM(G23:G28)</f>
        <v>65396066.30000001</v>
      </c>
      <c r="H29" s="18">
        <f>SUM(H23:H28)</f>
        <v>0</v>
      </c>
      <c r="I29" s="18">
        <f>SUM(I23:I28)</f>
        <v>65396066.30000001</v>
      </c>
      <c r="J29" s="18">
        <f>SUM(J23:J28)</f>
        <v>0</v>
      </c>
      <c r="L29" s="56"/>
    </row>
    <row r="30" spans="1:12" ht="15">
      <c r="A30" s="40" t="s">
        <v>80</v>
      </c>
      <c r="B30" s="21" t="s">
        <v>202</v>
      </c>
      <c r="C30" s="540" t="s">
        <v>203</v>
      </c>
      <c r="D30" s="541"/>
      <c r="E30" s="541"/>
      <c r="F30" s="542"/>
      <c r="G30" s="11">
        <f>'önkorm.bev'!G30</f>
        <v>5785000</v>
      </c>
      <c r="H30" s="189"/>
      <c r="I30" s="322">
        <f>G30</f>
        <v>5785000</v>
      </c>
      <c r="J30" s="189"/>
      <c r="L30" s="56"/>
    </row>
    <row r="31" spans="1:12" ht="15">
      <c r="A31" s="13" t="s">
        <v>83</v>
      </c>
      <c r="B31" s="39" t="s">
        <v>204</v>
      </c>
      <c r="C31" s="544" t="s">
        <v>205</v>
      </c>
      <c r="D31" s="534"/>
      <c r="E31" s="534"/>
      <c r="F31" s="545"/>
      <c r="G31" s="18">
        <f>SUM(G30)</f>
        <v>5785000</v>
      </c>
      <c r="H31" s="18">
        <f>SUM(H30)</f>
        <v>0</v>
      </c>
      <c r="I31" s="18">
        <f>SUM(I30)</f>
        <v>5785000</v>
      </c>
      <c r="J31" s="18">
        <f>SUM(J30)</f>
        <v>0</v>
      </c>
      <c r="L31" s="56"/>
    </row>
    <row r="32" spans="1:12" ht="38.25">
      <c r="A32" s="5" t="s">
        <v>86</v>
      </c>
      <c r="B32" s="10" t="s">
        <v>206</v>
      </c>
      <c r="C32" s="543" t="s">
        <v>207</v>
      </c>
      <c r="D32" s="543"/>
      <c r="E32" s="543"/>
      <c r="F32" s="543"/>
      <c r="G32" s="20">
        <f>'[1]Bev.Önk.'!$F$88</f>
        <v>3687509</v>
      </c>
      <c r="H32" s="20">
        <f>G32</f>
        <v>3687509</v>
      </c>
      <c r="I32" s="20"/>
      <c r="J32" s="20"/>
      <c r="L32" s="56"/>
    </row>
    <row r="33" spans="1:12" ht="15">
      <c r="A33" s="13" t="s">
        <v>89</v>
      </c>
      <c r="B33" s="14" t="s">
        <v>208</v>
      </c>
      <c r="C33" s="535" t="s">
        <v>209</v>
      </c>
      <c r="D33" s="535"/>
      <c r="E33" s="535"/>
      <c r="F33" s="535"/>
      <c r="G33" s="18">
        <f>SUM(G32)</f>
        <v>3687509</v>
      </c>
      <c r="H33" s="18">
        <f>SUM(H32)</f>
        <v>3687509</v>
      </c>
      <c r="I33" s="18">
        <f>SUM(I32)</f>
        <v>0</v>
      </c>
      <c r="J33" s="18">
        <f>SUM(J32)</f>
        <v>0</v>
      </c>
      <c r="L33" s="56"/>
    </row>
    <row r="34" spans="1:12" ht="15">
      <c r="A34" s="5" t="s">
        <v>92</v>
      </c>
      <c r="B34" s="10" t="s">
        <v>210</v>
      </c>
      <c r="C34" s="540" t="s">
        <v>211</v>
      </c>
      <c r="D34" s="541"/>
      <c r="E34" s="541"/>
      <c r="F34" s="542"/>
      <c r="G34" s="11">
        <f>'[1]Bev.Önk.'!$F$89</f>
        <v>1000000</v>
      </c>
      <c r="H34" s="11">
        <f>'[1]Bev.Önk.'!$F$89</f>
        <v>1000000</v>
      </c>
      <c r="I34" s="189"/>
      <c r="J34" s="189"/>
      <c r="L34" s="56"/>
    </row>
    <row r="35" spans="1:12" ht="15">
      <c r="A35" s="13" t="s">
        <v>95</v>
      </c>
      <c r="B35" s="14" t="s">
        <v>212</v>
      </c>
      <c r="C35" s="535" t="s">
        <v>213</v>
      </c>
      <c r="D35" s="535"/>
      <c r="E35" s="535"/>
      <c r="F35" s="535"/>
      <c r="G35" s="18">
        <f>SUM(G34)</f>
        <v>1000000</v>
      </c>
      <c r="H35" s="18">
        <f>SUM(H34)</f>
        <v>1000000</v>
      </c>
      <c r="I35" s="18">
        <f>SUM(I34)</f>
        <v>0</v>
      </c>
      <c r="J35" s="18">
        <f>SUM(J34)</f>
        <v>0</v>
      </c>
      <c r="L35" s="56"/>
    </row>
    <row r="36" spans="1:12" ht="25.5">
      <c r="A36" s="13" t="s">
        <v>98</v>
      </c>
      <c r="B36" s="28" t="s">
        <v>214</v>
      </c>
      <c r="C36" s="535" t="s">
        <v>215</v>
      </c>
      <c r="D36" s="535"/>
      <c r="E36" s="535"/>
      <c r="F36" s="535"/>
      <c r="G36" s="18">
        <f>G15+G17+G22+G29+G31+G33+G35</f>
        <v>696211246.3</v>
      </c>
      <c r="H36" s="18">
        <f>H15+H17+H22+H29+H31+H33+H35</f>
        <v>625030180</v>
      </c>
      <c r="I36" s="18">
        <f>I15+I17+I22+I29+I31+I33+I35</f>
        <v>71181066.30000001</v>
      </c>
      <c r="J36" s="18">
        <f>J15+J17+J22+J29+J31+J33+J35</f>
        <v>0</v>
      </c>
      <c r="L36" s="56"/>
    </row>
    <row r="37" spans="1:10" ht="15">
      <c r="A37" s="29"/>
      <c r="B37" s="38"/>
      <c r="C37" s="38"/>
      <c r="D37" s="38"/>
      <c r="E37" s="38"/>
      <c r="F37" s="38"/>
      <c r="G37" s="323"/>
      <c r="H37" s="319"/>
      <c r="I37" s="319"/>
      <c r="J37" s="319"/>
    </row>
    <row r="38" spans="1:10" ht="15.75">
      <c r="A38" s="536" t="s">
        <v>216</v>
      </c>
      <c r="B38" s="536"/>
      <c r="C38" s="536"/>
      <c r="D38" s="536"/>
      <c r="E38" s="536"/>
      <c r="F38" s="536"/>
      <c r="G38" s="536"/>
      <c r="H38" s="324"/>
      <c r="I38" s="324"/>
      <c r="J38" s="324"/>
    </row>
    <row r="39" spans="1:10" ht="15">
      <c r="A39" s="537" t="s">
        <v>3</v>
      </c>
      <c r="B39" s="538" t="s">
        <v>4</v>
      </c>
      <c r="C39" s="539" t="s">
        <v>5</v>
      </c>
      <c r="D39" s="539"/>
      <c r="E39" s="539"/>
      <c r="F39" s="539"/>
      <c r="G39" s="546" t="s">
        <v>144</v>
      </c>
      <c r="H39" s="319"/>
      <c r="I39" s="319"/>
      <c r="J39" s="319"/>
    </row>
    <row r="40" spans="1:10" ht="15">
      <c r="A40" s="537"/>
      <c r="B40" s="538"/>
      <c r="C40" s="539"/>
      <c r="D40" s="539"/>
      <c r="E40" s="539"/>
      <c r="F40" s="539"/>
      <c r="G40" s="546"/>
      <c r="H40" s="319"/>
      <c r="I40" s="319"/>
      <c r="J40" s="319"/>
    </row>
    <row r="41" spans="1:10" ht="25.5">
      <c r="A41" s="5" t="s">
        <v>101</v>
      </c>
      <c r="B41" s="19" t="s">
        <v>217</v>
      </c>
      <c r="C41" s="543" t="s">
        <v>218</v>
      </c>
      <c r="D41" s="543"/>
      <c r="E41" s="543"/>
      <c r="F41" s="543"/>
      <c r="G41" s="20">
        <f>'önkorm.bev'!G41+'Hivatal bevétel'!G41+'Óvoda bev.'!G41+'Könyvtár bev.'!G41</f>
        <v>296019368</v>
      </c>
      <c r="H41" s="324"/>
      <c r="I41" s="324"/>
      <c r="J41" s="324"/>
    </row>
    <row r="42" spans="1:10" ht="15">
      <c r="A42" s="5" t="s">
        <v>104</v>
      </c>
      <c r="B42" s="19" t="s">
        <v>219</v>
      </c>
      <c r="C42" s="543" t="s">
        <v>220</v>
      </c>
      <c r="D42" s="543"/>
      <c r="E42" s="543"/>
      <c r="F42" s="543"/>
      <c r="G42" s="20"/>
      <c r="H42" s="324"/>
      <c r="I42" s="324"/>
      <c r="J42" s="324"/>
    </row>
    <row r="43" spans="1:10" ht="15">
      <c r="A43" s="5" t="s">
        <v>107</v>
      </c>
      <c r="B43" s="19" t="s">
        <v>221</v>
      </c>
      <c r="C43" s="540" t="s">
        <v>222</v>
      </c>
      <c r="D43" s="541"/>
      <c r="E43" s="541"/>
      <c r="F43" s="542"/>
      <c r="G43" s="20">
        <f>'Hivatal bevétel'!G43+'Óvoda bev.'!G43+'Könyvtár bev.'!G43</f>
        <v>393427408.05</v>
      </c>
      <c r="H43" s="324"/>
      <c r="I43" s="324"/>
      <c r="J43" s="324"/>
    </row>
    <row r="44" spans="1:10" ht="15">
      <c r="A44" s="13" t="s">
        <v>110</v>
      </c>
      <c r="B44" s="28" t="s">
        <v>223</v>
      </c>
      <c r="C44" s="544" t="s">
        <v>224</v>
      </c>
      <c r="D44" s="534"/>
      <c r="E44" s="534"/>
      <c r="F44" s="545"/>
      <c r="G44" s="18">
        <f>SUM(G41:G43)</f>
        <v>689446776.05</v>
      </c>
      <c r="H44" s="324"/>
      <c r="I44" s="324"/>
      <c r="J44" s="324"/>
    </row>
    <row r="45" spans="1:10" ht="15">
      <c r="A45" s="44"/>
      <c r="B45" s="38"/>
      <c r="C45" s="38"/>
      <c r="D45" s="38"/>
      <c r="E45" s="38"/>
      <c r="F45" s="38"/>
      <c r="G45" s="323"/>
      <c r="H45" s="319"/>
      <c r="I45" s="319"/>
      <c r="J45" s="319"/>
    </row>
    <row r="46" spans="1:10" ht="15">
      <c r="A46" s="35"/>
      <c r="B46" s="36" t="s">
        <v>225</v>
      </c>
      <c r="C46" s="534"/>
      <c r="D46" s="534"/>
      <c r="E46" s="534"/>
      <c r="F46" s="534"/>
      <c r="G46" s="37">
        <f>G36+G44</f>
        <v>1385658022.35</v>
      </c>
      <c r="H46" s="325">
        <f>G46-'kiadás össz.'!G61</f>
        <v>0.20884132385253906</v>
      </c>
      <c r="I46" s="319"/>
      <c r="J46" s="319"/>
    </row>
  </sheetData>
  <sheetProtection/>
  <mergeCells count="48">
    <mergeCell ref="A1:J1"/>
    <mergeCell ref="A3:G3"/>
    <mergeCell ref="A4:G4"/>
    <mergeCell ref="A5:A6"/>
    <mergeCell ref="B5:B6"/>
    <mergeCell ref="C5:F6"/>
    <mergeCell ref="G5:G6"/>
    <mergeCell ref="H5:J5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G39:G40"/>
    <mergeCell ref="C30:F30"/>
    <mergeCell ref="C31:F31"/>
    <mergeCell ref="C32:F32"/>
    <mergeCell ref="C33:F33"/>
    <mergeCell ref="C34:F34"/>
    <mergeCell ref="C35:F35"/>
    <mergeCell ref="C41:F41"/>
    <mergeCell ref="C42:F42"/>
    <mergeCell ref="C43:F43"/>
    <mergeCell ref="C44:F44"/>
    <mergeCell ref="C46:F46"/>
    <mergeCell ref="C36:F36"/>
    <mergeCell ref="A38:G38"/>
    <mergeCell ref="A39:A40"/>
    <mergeCell ref="B39:B40"/>
    <mergeCell ref="C39:F40"/>
  </mergeCells>
  <printOptions/>
  <pageMargins left="0.7" right="0.7" top="0.75" bottom="0.75" header="0.3" footer="0.3"/>
  <pageSetup horizontalDpi="600" verticalDpi="600" orientation="portrait" paperSize="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46">
      <selection activeCell="M7" sqref="M7:M9"/>
    </sheetView>
  </sheetViews>
  <sheetFormatPr defaultColWidth="9.140625" defaultRowHeight="15"/>
  <cols>
    <col min="2" max="2" width="38.28125" style="0" customWidth="1"/>
    <col min="7" max="7" width="16.00390625" style="63" bestFit="1" customWidth="1"/>
    <col min="8" max="8" width="11.8515625" style="286" bestFit="1" customWidth="1"/>
    <col min="9" max="9" width="10.8515625" style="286" bestFit="1" customWidth="1"/>
    <col min="10" max="10" width="9.28125" style="286" bestFit="1" customWidth="1"/>
    <col min="12" max="12" width="9.57421875" style="0" bestFit="1" customWidth="1"/>
  </cols>
  <sheetData>
    <row r="1" spans="1:10" ht="15">
      <c r="A1" s="549" t="s">
        <v>239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5">
      <c r="A2" s="1"/>
      <c r="B2" s="1"/>
      <c r="C2" s="1"/>
      <c r="D2" s="1"/>
      <c r="E2" s="1"/>
      <c r="F2" s="1"/>
      <c r="G2" s="269"/>
      <c r="H2" s="270"/>
      <c r="I2" s="270"/>
      <c r="J2" s="270"/>
    </row>
    <row r="3" spans="1:10" ht="15">
      <c r="A3" s="572" t="s">
        <v>238</v>
      </c>
      <c r="B3" s="572"/>
      <c r="C3" s="572"/>
      <c r="D3" s="572"/>
      <c r="E3" s="572"/>
      <c r="F3" s="572"/>
      <c r="G3" s="572"/>
      <c r="H3" s="271"/>
      <c r="I3" s="271"/>
      <c r="J3" s="271"/>
    </row>
    <row r="4" spans="1:10" ht="15">
      <c r="A4" s="573" t="s">
        <v>2</v>
      </c>
      <c r="B4" s="574"/>
      <c r="C4" s="574"/>
      <c r="D4" s="574"/>
      <c r="E4" s="574"/>
      <c r="F4" s="574"/>
      <c r="G4" s="574"/>
      <c r="H4" s="271"/>
      <c r="I4" s="271"/>
      <c r="J4" s="271"/>
    </row>
    <row r="5" spans="1:10" ht="15">
      <c r="A5" s="537" t="s">
        <v>3</v>
      </c>
      <c r="B5" s="538" t="s">
        <v>4</v>
      </c>
      <c r="C5" s="539" t="s">
        <v>5</v>
      </c>
      <c r="D5" s="539"/>
      <c r="E5" s="539"/>
      <c r="F5" s="539"/>
      <c r="G5" s="612" t="s">
        <v>144</v>
      </c>
      <c r="H5" s="613" t="s">
        <v>7</v>
      </c>
      <c r="I5" s="614"/>
      <c r="J5" s="615"/>
    </row>
    <row r="6" spans="1:10" ht="25.5">
      <c r="A6" s="537"/>
      <c r="B6" s="538"/>
      <c r="C6" s="539"/>
      <c r="D6" s="539"/>
      <c r="E6" s="539"/>
      <c r="F6" s="539"/>
      <c r="G6" s="612"/>
      <c r="H6" s="272" t="s">
        <v>8</v>
      </c>
      <c r="I6" s="272" t="s">
        <v>9</v>
      </c>
      <c r="J6" s="272" t="s">
        <v>10</v>
      </c>
    </row>
    <row r="7" spans="1:13" ht="15">
      <c r="A7" s="5" t="s">
        <v>11</v>
      </c>
      <c r="B7" s="6" t="s">
        <v>240</v>
      </c>
      <c r="C7" s="540" t="s">
        <v>13</v>
      </c>
      <c r="D7" s="541"/>
      <c r="E7" s="541"/>
      <c r="F7" s="542"/>
      <c r="G7" s="273">
        <f>3797136+3085000+1793570+1643996</f>
        <v>10319702</v>
      </c>
      <c r="H7" s="53">
        <f>3797136+225000+2860000+143570+1650000</f>
        <v>8675706</v>
      </c>
      <c r="I7" s="53"/>
      <c r="J7" s="53"/>
      <c r="K7" s="268"/>
      <c r="M7" s="56"/>
    </row>
    <row r="8" spans="1:11" ht="15">
      <c r="A8" s="5" t="s">
        <v>14</v>
      </c>
      <c r="B8" s="6" t="s">
        <v>15</v>
      </c>
      <c r="C8" s="540" t="s">
        <v>16</v>
      </c>
      <c r="D8" s="541"/>
      <c r="E8" s="541"/>
      <c r="F8" s="542"/>
      <c r="G8" s="273">
        <v>282000</v>
      </c>
      <c r="H8" s="273">
        <v>0</v>
      </c>
      <c r="I8" s="273">
        <v>282000</v>
      </c>
      <c r="J8" s="273"/>
      <c r="K8" s="268"/>
    </row>
    <row r="9" spans="1:11" ht="25.5">
      <c r="A9" s="5" t="s">
        <v>17</v>
      </c>
      <c r="B9" s="6" t="s">
        <v>234</v>
      </c>
      <c r="C9" s="540" t="s">
        <v>19</v>
      </c>
      <c r="D9" s="541"/>
      <c r="E9" s="541"/>
      <c r="F9" s="542"/>
      <c r="G9" s="273">
        <v>0</v>
      </c>
      <c r="H9" s="53">
        <v>0</v>
      </c>
      <c r="I9" s="53"/>
      <c r="J9" s="53"/>
      <c r="K9" s="268"/>
    </row>
    <row r="10" spans="1:11" ht="15">
      <c r="A10" s="5" t="s">
        <v>20</v>
      </c>
      <c r="B10" s="6" t="s">
        <v>21</v>
      </c>
      <c r="C10" s="540" t="s">
        <v>22</v>
      </c>
      <c r="D10" s="541"/>
      <c r="E10" s="541"/>
      <c r="F10" s="542"/>
      <c r="G10" s="273">
        <f>316428*2</f>
        <v>632856</v>
      </c>
      <c r="H10" s="53">
        <v>632856</v>
      </c>
      <c r="I10" s="53"/>
      <c r="J10" s="53"/>
      <c r="K10" s="268"/>
    </row>
    <row r="11" spans="1:11" ht="15">
      <c r="A11" s="5" t="s">
        <v>23</v>
      </c>
      <c r="B11" s="10" t="s">
        <v>24</v>
      </c>
      <c r="C11" s="543" t="s">
        <v>25</v>
      </c>
      <c r="D11" s="543"/>
      <c r="E11" s="543"/>
      <c r="F11" s="543"/>
      <c r="G11" s="273">
        <v>396000</v>
      </c>
      <c r="H11" s="53">
        <f>G11</f>
        <v>396000</v>
      </c>
      <c r="I11" s="53"/>
      <c r="J11" s="53"/>
      <c r="K11" s="268"/>
    </row>
    <row r="12" spans="1:11" ht="15">
      <c r="A12" s="5" t="s">
        <v>26</v>
      </c>
      <c r="B12" s="10" t="s">
        <v>27</v>
      </c>
      <c r="C12" s="540" t="s">
        <v>28</v>
      </c>
      <c r="D12" s="541"/>
      <c r="E12" s="541"/>
      <c r="F12" s="542"/>
      <c r="G12" s="273"/>
      <c r="H12" s="53"/>
      <c r="I12" s="53"/>
      <c r="J12" s="53"/>
      <c r="K12" s="268"/>
    </row>
    <row r="13" spans="1:11" ht="15">
      <c r="A13" s="5" t="s">
        <v>29</v>
      </c>
      <c r="B13" s="10" t="s">
        <v>30</v>
      </c>
      <c r="C13" s="543" t="s">
        <v>31</v>
      </c>
      <c r="D13" s="543"/>
      <c r="E13" s="543"/>
      <c r="F13" s="543"/>
      <c r="G13" s="273">
        <f>'[1]Könyvtár'!$I$45</f>
        <v>10000</v>
      </c>
      <c r="H13" s="53">
        <v>10000</v>
      </c>
      <c r="I13" s="53"/>
      <c r="J13" s="53"/>
      <c r="K13" s="268"/>
    </row>
    <row r="14" spans="1:11" ht="15">
      <c r="A14" s="5" t="s">
        <v>32</v>
      </c>
      <c r="B14" s="10" t="s">
        <v>33</v>
      </c>
      <c r="C14" s="540" t="s">
        <v>34</v>
      </c>
      <c r="D14" s="541"/>
      <c r="E14" s="541"/>
      <c r="F14" s="542"/>
      <c r="G14" s="273"/>
      <c r="H14" s="53"/>
      <c r="I14" s="53"/>
      <c r="J14" s="53"/>
      <c r="K14" s="268"/>
    </row>
    <row r="15" spans="1:11" ht="15">
      <c r="A15" s="5" t="s">
        <v>35</v>
      </c>
      <c r="B15" s="10" t="s">
        <v>36</v>
      </c>
      <c r="C15" s="540" t="s">
        <v>37</v>
      </c>
      <c r="D15" s="541"/>
      <c r="E15" s="541"/>
      <c r="F15" s="542"/>
      <c r="G15" s="273">
        <f>'[1]Könyvtár'!$I$46</f>
        <v>36000</v>
      </c>
      <c r="H15" s="53">
        <v>36000</v>
      </c>
      <c r="I15" s="53"/>
      <c r="J15" s="53"/>
      <c r="K15" s="268"/>
    </row>
    <row r="16" spans="1:11" ht="15">
      <c r="A16" s="5" t="s">
        <v>38</v>
      </c>
      <c r="B16" s="10" t="s">
        <v>39</v>
      </c>
      <c r="C16" s="543" t="s">
        <v>40</v>
      </c>
      <c r="D16" s="543"/>
      <c r="E16" s="543"/>
      <c r="F16" s="543"/>
      <c r="G16" s="273"/>
      <c r="H16" s="53"/>
      <c r="I16" s="53"/>
      <c r="J16" s="53"/>
      <c r="K16" s="268"/>
    </row>
    <row r="17" spans="1:11" ht="25.5">
      <c r="A17" s="5" t="s">
        <v>41</v>
      </c>
      <c r="B17" s="10" t="s">
        <v>42</v>
      </c>
      <c r="C17" s="543" t="s">
        <v>43</v>
      </c>
      <c r="D17" s="543"/>
      <c r="E17" s="543"/>
      <c r="F17" s="543"/>
      <c r="G17" s="274"/>
      <c r="H17" s="275"/>
      <c r="I17" s="275"/>
      <c r="J17" s="275"/>
      <c r="K17" s="268"/>
    </row>
    <row r="18" spans="1:11" ht="15">
      <c r="A18" s="5" t="s">
        <v>44</v>
      </c>
      <c r="B18" s="10" t="s">
        <v>45</v>
      </c>
      <c r="C18" s="543" t="s">
        <v>46</v>
      </c>
      <c r="D18" s="543"/>
      <c r="E18" s="543"/>
      <c r="F18" s="543"/>
      <c r="G18" s="273">
        <f>'[1]Könyvtár'!$I$47</f>
        <v>10000</v>
      </c>
      <c r="H18" s="53">
        <v>10000</v>
      </c>
      <c r="I18" s="53"/>
      <c r="J18" s="53"/>
      <c r="K18" s="268"/>
    </row>
    <row r="19" spans="1:11" ht="15">
      <c r="A19" s="13" t="s">
        <v>47</v>
      </c>
      <c r="B19" s="14" t="s">
        <v>48</v>
      </c>
      <c r="C19" s="535" t="s">
        <v>49</v>
      </c>
      <c r="D19" s="535"/>
      <c r="E19" s="535"/>
      <c r="F19" s="535"/>
      <c r="G19" s="276">
        <f>SUM(G7:G18)</f>
        <v>11686558</v>
      </c>
      <c r="H19" s="276">
        <f>SUM(H7:H18)</f>
        <v>9760562</v>
      </c>
      <c r="I19" s="276">
        <f>SUM(I7:I18)</f>
        <v>282000</v>
      </c>
      <c r="J19" s="276">
        <v>0</v>
      </c>
      <c r="K19" s="268"/>
    </row>
    <row r="20" spans="1:11" ht="25.5">
      <c r="A20" s="13" t="s">
        <v>50</v>
      </c>
      <c r="B20" s="14" t="s">
        <v>51</v>
      </c>
      <c r="C20" s="535" t="s">
        <v>52</v>
      </c>
      <c r="D20" s="535"/>
      <c r="E20" s="535"/>
      <c r="F20" s="535"/>
      <c r="G20" s="277">
        <f>((G7+G10+G15+G8)*0.13)+(G11+G18*0.28)</f>
        <v>1863972.54</v>
      </c>
      <c r="H20" s="277">
        <f>((H7+H10+H15+H8)*0.13)+(H11+H18*0.28)</f>
        <v>1613593.06</v>
      </c>
      <c r="I20" s="277">
        <f>((I7+I10+I15+I8)*0.13)+(I11*0.28)</f>
        <v>36660</v>
      </c>
      <c r="J20" s="277">
        <v>0</v>
      </c>
      <c r="K20" s="268"/>
    </row>
    <row r="21" spans="1:11" ht="15">
      <c r="A21" s="5" t="s">
        <v>53</v>
      </c>
      <c r="B21" s="10" t="s">
        <v>54</v>
      </c>
      <c r="C21" s="543" t="s">
        <v>55</v>
      </c>
      <c r="D21" s="543"/>
      <c r="E21" s="543"/>
      <c r="F21" s="543"/>
      <c r="G21" s="273">
        <v>1250000</v>
      </c>
      <c r="H21" s="53">
        <f>G21</f>
        <v>1250000</v>
      </c>
      <c r="I21" s="53"/>
      <c r="J21" s="53"/>
      <c r="K21" s="268"/>
    </row>
    <row r="22" spans="1:11" ht="15">
      <c r="A22" s="5" t="s">
        <v>56</v>
      </c>
      <c r="B22" s="10" t="s">
        <v>57</v>
      </c>
      <c r="C22" s="540" t="s">
        <v>58</v>
      </c>
      <c r="D22" s="541"/>
      <c r="E22" s="541"/>
      <c r="F22" s="542"/>
      <c r="G22" s="273">
        <f>720000/1.27</f>
        <v>566929.1338582677</v>
      </c>
      <c r="H22" s="53">
        <f aca="true" t="shared" si="0" ref="H22:H32">G22</f>
        <v>566929.1338582677</v>
      </c>
      <c r="I22" s="53"/>
      <c r="J22" s="53"/>
      <c r="K22" s="268"/>
    </row>
    <row r="23" spans="1:11" ht="15">
      <c r="A23" s="5" t="s">
        <v>59</v>
      </c>
      <c r="B23" s="10" t="s">
        <v>60</v>
      </c>
      <c r="C23" s="543" t="s">
        <v>61</v>
      </c>
      <c r="D23" s="543"/>
      <c r="E23" s="543"/>
      <c r="F23" s="543"/>
      <c r="G23" s="273">
        <f>250000+150000</f>
        <v>400000</v>
      </c>
      <c r="H23" s="53">
        <f t="shared" si="0"/>
        <v>400000</v>
      </c>
      <c r="I23" s="53"/>
      <c r="J23" s="53"/>
      <c r="K23" s="268"/>
    </row>
    <row r="24" spans="1:11" ht="15">
      <c r="A24" s="5" t="s">
        <v>62</v>
      </c>
      <c r="B24" s="10" t="s">
        <v>63</v>
      </c>
      <c r="C24" s="543" t="s">
        <v>64</v>
      </c>
      <c r="D24" s="543"/>
      <c r="E24" s="543"/>
      <c r="F24" s="543"/>
      <c r="G24" s="273">
        <v>300000</v>
      </c>
      <c r="H24" s="53">
        <f t="shared" si="0"/>
        <v>300000</v>
      </c>
      <c r="I24" s="53"/>
      <c r="J24" s="53"/>
      <c r="K24" s="268"/>
    </row>
    <row r="25" spans="1:11" ht="15">
      <c r="A25" s="5" t="s">
        <v>65</v>
      </c>
      <c r="B25" s="19" t="s">
        <v>66</v>
      </c>
      <c r="C25" s="543" t="s">
        <v>67</v>
      </c>
      <c r="D25" s="543"/>
      <c r="E25" s="543"/>
      <c r="F25" s="543"/>
      <c r="G25" s="273">
        <f>600000+300000+30000</f>
        <v>930000</v>
      </c>
      <c r="H25" s="53">
        <f t="shared" si="0"/>
        <v>930000</v>
      </c>
      <c r="I25" s="53"/>
      <c r="J25" s="53"/>
      <c r="K25" s="268"/>
    </row>
    <row r="26" spans="1:11" ht="15">
      <c r="A26" s="5" t="s">
        <v>68</v>
      </c>
      <c r="B26" s="19" t="s">
        <v>69</v>
      </c>
      <c r="C26" s="543" t="s">
        <v>70</v>
      </c>
      <c r="D26" s="543"/>
      <c r="E26" s="543"/>
      <c r="F26" s="543"/>
      <c r="G26" s="273">
        <v>50000</v>
      </c>
      <c r="H26" s="53">
        <f t="shared" si="0"/>
        <v>50000</v>
      </c>
      <c r="I26" s="53"/>
      <c r="J26" s="53"/>
      <c r="K26" s="268"/>
    </row>
    <row r="27" spans="1:11" ht="15">
      <c r="A27" s="5" t="s">
        <v>71</v>
      </c>
      <c r="B27" s="19" t="s">
        <v>72</v>
      </c>
      <c r="C27" s="540" t="s">
        <v>73</v>
      </c>
      <c r="D27" s="541"/>
      <c r="E27" s="541"/>
      <c r="F27" s="542"/>
      <c r="G27" s="273"/>
      <c r="H27" s="53">
        <f t="shared" si="0"/>
        <v>0</v>
      </c>
      <c r="I27" s="53"/>
      <c r="J27" s="53"/>
      <c r="K27" s="268"/>
    </row>
    <row r="28" spans="1:11" ht="15">
      <c r="A28" s="5" t="s">
        <v>74</v>
      </c>
      <c r="B28" s="19" t="s">
        <v>75</v>
      </c>
      <c r="C28" s="543" t="s">
        <v>76</v>
      </c>
      <c r="D28" s="543"/>
      <c r="E28" s="543"/>
      <c r="F28" s="543"/>
      <c r="G28" s="273"/>
      <c r="H28" s="53">
        <f t="shared" si="0"/>
        <v>0</v>
      </c>
      <c r="I28" s="53"/>
      <c r="J28" s="53"/>
      <c r="K28" s="268"/>
    </row>
    <row r="29" spans="1:11" ht="15">
      <c r="A29" s="5" t="s">
        <v>77</v>
      </c>
      <c r="B29" s="19" t="s">
        <v>78</v>
      </c>
      <c r="C29" s="543" t="s">
        <v>79</v>
      </c>
      <c r="D29" s="543"/>
      <c r="E29" s="543"/>
      <c r="F29" s="543"/>
      <c r="G29" s="273">
        <f>1500000+150000+100000</f>
        <v>1750000</v>
      </c>
      <c r="H29" s="53">
        <f t="shared" si="0"/>
        <v>1750000</v>
      </c>
      <c r="I29" s="53"/>
      <c r="J29" s="53"/>
      <c r="K29" s="268"/>
    </row>
    <row r="30" spans="1:11" ht="15">
      <c r="A30" s="5" t="s">
        <v>80</v>
      </c>
      <c r="B30" s="19" t="s">
        <v>81</v>
      </c>
      <c r="C30" s="540" t="s">
        <v>82</v>
      </c>
      <c r="D30" s="541"/>
      <c r="E30" s="541"/>
      <c r="F30" s="542"/>
      <c r="G30" s="273">
        <v>70000</v>
      </c>
      <c r="H30" s="53">
        <v>0</v>
      </c>
      <c r="I30" s="53">
        <f>G30</f>
        <v>70000</v>
      </c>
      <c r="J30" s="53"/>
      <c r="K30" s="268"/>
    </row>
    <row r="31" spans="1:11" ht="25.5">
      <c r="A31" s="5" t="s">
        <v>83</v>
      </c>
      <c r="B31" s="19" t="s">
        <v>84</v>
      </c>
      <c r="C31" s="543" t="s">
        <v>85</v>
      </c>
      <c r="D31" s="543"/>
      <c r="E31" s="543"/>
      <c r="F31" s="543"/>
      <c r="G31" s="273">
        <f>(G21*0.05)+((G22+G23+G24+G25+G26+G29)*0.27)-27000</f>
        <v>1114670.8661417323</v>
      </c>
      <c r="H31" s="53">
        <f t="shared" si="0"/>
        <v>1114670.8661417323</v>
      </c>
      <c r="I31" s="53"/>
      <c r="J31" s="53"/>
      <c r="K31" s="268"/>
    </row>
    <row r="32" spans="1:11" ht="15">
      <c r="A32" s="5" t="s">
        <v>86</v>
      </c>
      <c r="B32" s="21" t="s">
        <v>87</v>
      </c>
      <c r="C32" s="543" t="s">
        <v>88</v>
      </c>
      <c r="D32" s="543"/>
      <c r="E32" s="543"/>
      <c r="F32" s="543"/>
      <c r="G32" s="274">
        <f>100000*0.27</f>
        <v>27000</v>
      </c>
      <c r="H32" s="53">
        <f t="shared" si="0"/>
        <v>27000</v>
      </c>
      <c r="I32" s="53">
        <v>0</v>
      </c>
      <c r="J32" s="53"/>
      <c r="K32" s="268"/>
    </row>
    <row r="33" spans="1:11" ht="15">
      <c r="A33" s="13" t="s">
        <v>89</v>
      </c>
      <c r="B33" s="14" t="s">
        <v>90</v>
      </c>
      <c r="C33" s="535" t="s">
        <v>91</v>
      </c>
      <c r="D33" s="535"/>
      <c r="E33" s="535"/>
      <c r="F33" s="535"/>
      <c r="G33" s="277">
        <f>SUM(G21:G32)</f>
        <v>6458600</v>
      </c>
      <c r="H33" s="277">
        <f>SUM(H21:H32)</f>
        <v>6388600</v>
      </c>
      <c r="I33" s="277">
        <f>SUM(I21:I32)</f>
        <v>70000</v>
      </c>
      <c r="J33" s="277">
        <f>SUM(J21:J32)</f>
        <v>0</v>
      </c>
      <c r="K33" s="268"/>
    </row>
    <row r="34" spans="1:11" ht="15">
      <c r="A34" s="5" t="s">
        <v>92</v>
      </c>
      <c r="B34" s="10" t="s">
        <v>93</v>
      </c>
      <c r="C34" s="540" t="s">
        <v>94</v>
      </c>
      <c r="D34" s="541"/>
      <c r="E34" s="541"/>
      <c r="F34" s="542"/>
      <c r="G34" s="278"/>
      <c r="H34" s="53"/>
      <c r="I34" s="53"/>
      <c r="J34" s="53"/>
      <c r="K34" s="268"/>
    </row>
    <row r="35" spans="1:11" ht="15">
      <c r="A35" s="5" t="s">
        <v>95</v>
      </c>
      <c r="B35" s="10" t="s">
        <v>96</v>
      </c>
      <c r="C35" s="540" t="s">
        <v>97</v>
      </c>
      <c r="D35" s="541"/>
      <c r="E35" s="541"/>
      <c r="F35" s="542"/>
      <c r="G35" s="278"/>
      <c r="H35" s="53"/>
      <c r="I35" s="53"/>
      <c r="J35" s="53"/>
      <c r="K35" s="268"/>
    </row>
    <row r="36" spans="1:11" ht="15">
      <c r="A36" s="13" t="s">
        <v>98</v>
      </c>
      <c r="B36" s="14" t="s">
        <v>99</v>
      </c>
      <c r="C36" s="544" t="s">
        <v>100</v>
      </c>
      <c r="D36" s="534"/>
      <c r="E36" s="534"/>
      <c r="F36" s="545"/>
      <c r="G36" s="277">
        <f>SUM(G34:G35)</f>
        <v>0</v>
      </c>
      <c r="H36" s="277">
        <f>SUM(H34:H35)</f>
        <v>0</v>
      </c>
      <c r="I36" s="277">
        <f>SUM(I34:I35)</f>
        <v>0</v>
      </c>
      <c r="J36" s="277">
        <f>SUM(J34:J35)</f>
        <v>0</v>
      </c>
      <c r="K36" s="268"/>
    </row>
    <row r="37" spans="1:11" ht="25.5">
      <c r="A37" s="5" t="s">
        <v>101</v>
      </c>
      <c r="B37" s="10" t="s">
        <v>102</v>
      </c>
      <c r="C37" s="540" t="s">
        <v>103</v>
      </c>
      <c r="D37" s="541"/>
      <c r="E37" s="541"/>
      <c r="F37" s="542"/>
      <c r="G37" s="278"/>
      <c r="H37" s="53"/>
      <c r="I37" s="53"/>
      <c r="J37" s="53"/>
      <c r="K37" s="268"/>
    </row>
    <row r="38" spans="1:11" ht="25.5">
      <c r="A38" s="5" t="s">
        <v>104</v>
      </c>
      <c r="B38" s="10" t="s">
        <v>105</v>
      </c>
      <c r="C38" s="540" t="s">
        <v>106</v>
      </c>
      <c r="D38" s="541"/>
      <c r="E38" s="541"/>
      <c r="F38" s="542"/>
      <c r="G38" s="278"/>
      <c r="H38" s="53"/>
      <c r="I38" s="53"/>
      <c r="J38" s="53"/>
      <c r="K38" s="268"/>
    </row>
    <row r="39" spans="1:11" ht="15">
      <c r="A39" s="5" t="s">
        <v>107</v>
      </c>
      <c r="B39" s="10" t="s">
        <v>108</v>
      </c>
      <c r="C39" s="540" t="s">
        <v>109</v>
      </c>
      <c r="D39" s="541"/>
      <c r="E39" s="541"/>
      <c r="F39" s="542"/>
      <c r="G39" s="278"/>
      <c r="H39" s="53"/>
      <c r="I39" s="53"/>
      <c r="J39" s="53"/>
      <c r="K39" s="268"/>
    </row>
    <row r="40" spans="1:11" ht="15">
      <c r="A40" s="13" t="s">
        <v>110</v>
      </c>
      <c r="B40" s="24" t="s">
        <v>111</v>
      </c>
      <c r="C40" s="544" t="s">
        <v>112</v>
      </c>
      <c r="D40" s="534"/>
      <c r="E40" s="534"/>
      <c r="F40" s="545"/>
      <c r="G40" s="277">
        <f>SUM(G37:G39)</f>
        <v>0</v>
      </c>
      <c r="H40" s="277">
        <f>SUM(H37:H39)</f>
        <v>0</v>
      </c>
      <c r="I40" s="277">
        <f>SUM(I37:I39)</f>
        <v>0</v>
      </c>
      <c r="J40" s="277">
        <f>SUM(J37:J39)</f>
        <v>0</v>
      </c>
      <c r="K40" s="268"/>
    </row>
    <row r="41" spans="1:11" ht="15">
      <c r="A41" s="5" t="s">
        <v>113</v>
      </c>
      <c r="B41" s="25" t="s">
        <v>114</v>
      </c>
      <c r="C41" s="565" t="s">
        <v>115</v>
      </c>
      <c r="D41" s="566"/>
      <c r="E41" s="566"/>
      <c r="F41" s="567"/>
      <c r="G41" s="278">
        <v>0</v>
      </c>
      <c r="H41" s="278"/>
      <c r="I41" s="278">
        <v>0</v>
      </c>
      <c r="J41" s="278"/>
      <c r="K41" s="268"/>
    </row>
    <row r="42" spans="1:11" ht="15">
      <c r="A42" s="5" t="s">
        <v>116</v>
      </c>
      <c r="B42" s="25" t="s">
        <v>235</v>
      </c>
      <c r="C42" s="540" t="s">
        <v>236</v>
      </c>
      <c r="D42" s="541"/>
      <c r="E42" s="541"/>
      <c r="F42" s="542"/>
      <c r="G42" s="278">
        <v>0</v>
      </c>
      <c r="H42" s="278"/>
      <c r="I42" s="278"/>
      <c r="J42" s="278"/>
      <c r="K42" s="268"/>
    </row>
    <row r="43" spans="1:11" ht="15">
      <c r="A43" s="5" t="s">
        <v>119</v>
      </c>
      <c r="B43" s="10" t="s">
        <v>117</v>
      </c>
      <c r="C43" s="540" t="s">
        <v>118</v>
      </c>
      <c r="D43" s="541"/>
      <c r="E43" s="541"/>
      <c r="F43" s="542"/>
      <c r="G43" s="278">
        <v>629920</v>
      </c>
      <c r="H43" s="278">
        <v>0</v>
      </c>
      <c r="I43" s="278">
        <f>G43</f>
        <v>629920</v>
      </c>
      <c r="J43" s="278">
        <v>0</v>
      </c>
      <c r="K43" s="268"/>
    </row>
    <row r="44" spans="1:11" ht="25.5">
      <c r="A44" s="5" t="s">
        <v>122</v>
      </c>
      <c r="B44" s="10" t="s">
        <v>120</v>
      </c>
      <c r="C44" s="540" t="s">
        <v>121</v>
      </c>
      <c r="D44" s="541"/>
      <c r="E44" s="541"/>
      <c r="F44" s="542"/>
      <c r="G44" s="278">
        <f>(G43*0.27)+2</f>
        <v>170080.40000000002</v>
      </c>
      <c r="H44" s="278">
        <v>0</v>
      </c>
      <c r="I44" s="278">
        <f>(I43*0.27)+2</f>
        <v>170080.40000000002</v>
      </c>
      <c r="J44" s="278">
        <v>0</v>
      </c>
      <c r="K44" s="268"/>
    </row>
    <row r="45" spans="1:12" ht="15">
      <c r="A45" s="66" t="s">
        <v>125</v>
      </c>
      <c r="B45" s="14" t="s">
        <v>123</v>
      </c>
      <c r="C45" s="544" t="s">
        <v>124</v>
      </c>
      <c r="D45" s="534"/>
      <c r="E45" s="534"/>
      <c r="F45" s="545"/>
      <c r="G45" s="277">
        <f>SUM(G41:G44)</f>
        <v>800000.4</v>
      </c>
      <c r="H45" s="277">
        <f>SUM(H43:H44)</f>
        <v>0</v>
      </c>
      <c r="I45" s="277">
        <f>SUM(I41:I44)</f>
        <v>800000.4</v>
      </c>
      <c r="J45" s="277">
        <f>SUM(J43:J44)</f>
        <v>0</v>
      </c>
      <c r="K45" s="268"/>
      <c r="L45" s="63"/>
    </row>
    <row r="46" spans="1:11" ht="15">
      <c r="A46" s="5" t="s">
        <v>128</v>
      </c>
      <c r="B46" s="10" t="s">
        <v>126</v>
      </c>
      <c r="C46" s="540" t="s">
        <v>127</v>
      </c>
      <c r="D46" s="541"/>
      <c r="E46" s="541"/>
      <c r="F46" s="542"/>
      <c r="G46" s="278"/>
      <c r="H46" s="53"/>
      <c r="I46" s="53"/>
      <c r="J46" s="53"/>
      <c r="K46" s="268"/>
    </row>
    <row r="47" spans="1:11" ht="25.5">
      <c r="A47" s="5" t="s">
        <v>131</v>
      </c>
      <c r="B47" s="10" t="s">
        <v>129</v>
      </c>
      <c r="C47" s="540" t="s">
        <v>130</v>
      </c>
      <c r="D47" s="541"/>
      <c r="E47" s="541"/>
      <c r="F47" s="542"/>
      <c r="G47" s="274"/>
      <c r="H47" s="53"/>
      <c r="I47" s="53"/>
      <c r="J47" s="53"/>
      <c r="K47" s="268"/>
    </row>
    <row r="48" spans="1:11" ht="15">
      <c r="A48" s="66" t="s">
        <v>134</v>
      </c>
      <c r="B48" s="14" t="s">
        <v>132</v>
      </c>
      <c r="C48" s="544" t="s">
        <v>133</v>
      </c>
      <c r="D48" s="534"/>
      <c r="E48" s="534"/>
      <c r="F48" s="545"/>
      <c r="G48" s="277">
        <f>SUM(G46:G47)</f>
        <v>0</v>
      </c>
      <c r="H48" s="277">
        <f>SUM(H46:H47)</f>
        <v>0</v>
      </c>
      <c r="I48" s="277">
        <f>SUM(I46:I47)</f>
        <v>0</v>
      </c>
      <c r="J48" s="277">
        <f>SUM(J46:J47)</f>
        <v>0</v>
      </c>
      <c r="K48" s="268"/>
    </row>
    <row r="49" spans="1:11" ht="38.25">
      <c r="A49" s="5" t="s">
        <v>137</v>
      </c>
      <c r="B49" s="10" t="s">
        <v>135</v>
      </c>
      <c r="C49" s="540" t="s">
        <v>136</v>
      </c>
      <c r="D49" s="541"/>
      <c r="E49" s="541"/>
      <c r="F49" s="542"/>
      <c r="G49" s="274"/>
      <c r="H49" s="53"/>
      <c r="I49" s="53"/>
      <c r="J49" s="53"/>
      <c r="K49" s="268"/>
    </row>
    <row r="50" spans="1:11" ht="15">
      <c r="A50" s="66" t="s">
        <v>140</v>
      </c>
      <c r="B50" s="14" t="s">
        <v>138</v>
      </c>
      <c r="C50" s="544" t="s">
        <v>139</v>
      </c>
      <c r="D50" s="534"/>
      <c r="E50" s="534"/>
      <c r="F50" s="545"/>
      <c r="G50" s="277">
        <f>SUM(G49)</f>
        <v>0</v>
      </c>
      <c r="H50" s="277">
        <f>SUM(H49)</f>
        <v>0</v>
      </c>
      <c r="I50" s="277">
        <f>SUM(I49)</f>
        <v>0</v>
      </c>
      <c r="J50" s="277">
        <f>SUM(J49)</f>
        <v>0</v>
      </c>
      <c r="K50" s="268"/>
    </row>
    <row r="51" spans="1:11" ht="15">
      <c r="A51" s="66" t="s">
        <v>147</v>
      </c>
      <c r="B51" s="28" t="s">
        <v>141</v>
      </c>
      <c r="C51" s="535" t="s">
        <v>142</v>
      </c>
      <c r="D51" s="535"/>
      <c r="E51" s="535"/>
      <c r="F51" s="535"/>
      <c r="G51" s="277">
        <f>G19+G20+G33+G36+G40+G45+G48+G50</f>
        <v>20809130.939999998</v>
      </c>
      <c r="H51" s="277">
        <f>H19+H20+H33+H36+H40+H45+H48+H50</f>
        <v>17762755.060000002</v>
      </c>
      <c r="I51" s="277">
        <f>I19+I20+I33+I36+I40+I45+I48+I50</f>
        <v>1188660.4</v>
      </c>
      <c r="J51" s="277">
        <f>J19+J20+J33+J36+J40+J45+J48+J50</f>
        <v>0</v>
      </c>
      <c r="K51" s="268"/>
    </row>
    <row r="52" spans="1:11" ht="15">
      <c r="A52" s="29"/>
      <c r="B52" s="2"/>
      <c r="C52" s="2"/>
      <c r="D52" s="2"/>
      <c r="E52" s="2"/>
      <c r="F52" s="2"/>
      <c r="G52" s="259"/>
      <c r="H52" s="279"/>
      <c r="I52" s="279"/>
      <c r="J52" s="279"/>
      <c r="K52" s="268"/>
    </row>
    <row r="53" spans="1:11" ht="15">
      <c r="A53" s="579" t="s">
        <v>143</v>
      </c>
      <c r="B53" s="579"/>
      <c r="C53" s="579"/>
      <c r="D53" s="579"/>
      <c r="E53" s="579"/>
      <c r="F53" s="579"/>
      <c r="G53" s="579"/>
      <c r="H53" s="280"/>
      <c r="I53" s="280"/>
      <c r="J53" s="280"/>
      <c r="K53" s="268"/>
    </row>
    <row r="54" spans="1:11" ht="15">
      <c r="A54" s="537" t="s">
        <v>3</v>
      </c>
      <c r="B54" s="538" t="s">
        <v>4</v>
      </c>
      <c r="C54" s="539" t="s">
        <v>5</v>
      </c>
      <c r="D54" s="539"/>
      <c r="E54" s="539"/>
      <c r="F54" s="539"/>
      <c r="G54" s="612" t="s">
        <v>144</v>
      </c>
      <c r="H54" s="281"/>
      <c r="I54" s="281"/>
      <c r="J54" s="281"/>
      <c r="K54" s="268"/>
    </row>
    <row r="55" spans="1:11" ht="15">
      <c r="A55" s="537"/>
      <c r="B55" s="538"/>
      <c r="C55" s="539"/>
      <c r="D55" s="539"/>
      <c r="E55" s="539"/>
      <c r="F55" s="539"/>
      <c r="G55" s="612"/>
      <c r="H55" s="279"/>
      <c r="I55" s="279"/>
      <c r="J55" s="279"/>
      <c r="K55" s="268"/>
    </row>
    <row r="56" spans="1:11" ht="25.5">
      <c r="A56" s="5" t="s">
        <v>140</v>
      </c>
      <c r="B56" s="19" t="s">
        <v>145</v>
      </c>
      <c r="C56" s="543" t="s">
        <v>146</v>
      </c>
      <c r="D56" s="543"/>
      <c r="E56" s="543"/>
      <c r="F56" s="543"/>
      <c r="G56" s="273"/>
      <c r="H56" s="282"/>
      <c r="I56" s="282"/>
      <c r="J56" s="282"/>
      <c r="K56" s="268"/>
    </row>
    <row r="57" spans="1:10" ht="25.5">
      <c r="A57" s="5" t="s">
        <v>147</v>
      </c>
      <c r="B57" s="19" t="s">
        <v>148</v>
      </c>
      <c r="C57" s="543" t="s">
        <v>149</v>
      </c>
      <c r="D57" s="543"/>
      <c r="E57" s="543"/>
      <c r="F57" s="543"/>
      <c r="G57" s="273"/>
      <c r="H57" s="283"/>
      <c r="I57" s="283"/>
      <c r="J57" s="283"/>
    </row>
    <row r="58" spans="1:10" ht="15">
      <c r="A58" s="13" t="s">
        <v>150</v>
      </c>
      <c r="B58" s="28" t="s">
        <v>151</v>
      </c>
      <c r="C58" s="535" t="s">
        <v>152</v>
      </c>
      <c r="D58" s="535"/>
      <c r="E58" s="535"/>
      <c r="F58" s="535"/>
      <c r="G58" s="277">
        <f>SUM(G56:G57)</f>
        <v>0</v>
      </c>
      <c r="H58" s="283"/>
      <c r="I58" s="283"/>
      <c r="J58" s="283"/>
    </row>
    <row r="59" spans="1:10" ht="15">
      <c r="A59" s="34"/>
      <c r="B59" s="2"/>
      <c r="C59" s="2"/>
      <c r="D59" s="2"/>
      <c r="E59" s="2"/>
      <c r="F59" s="2"/>
      <c r="G59" s="259"/>
      <c r="H59" s="270"/>
      <c r="I59" s="270"/>
      <c r="J59" s="270"/>
    </row>
    <row r="60" spans="1:10" ht="15">
      <c r="A60" s="35"/>
      <c r="B60" s="36" t="s">
        <v>153</v>
      </c>
      <c r="C60" s="534"/>
      <c r="D60" s="534"/>
      <c r="E60" s="534"/>
      <c r="F60" s="534"/>
      <c r="G60" s="284">
        <f>G51+G58</f>
        <v>20809130.939999998</v>
      </c>
      <c r="H60" s="270"/>
      <c r="I60" s="270"/>
      <c r="J60" s="270"/>
    </row>
    <row r="61" spans="1:10" ht="15">
      <c r="A61" s="34"/>
      <c r="B61" s="2"/>
      <c r="C61" s="2"/>
      <c r="D61" s="2"/>
      <c r="E61" s="2"/>
      <c r="F61" s="2"/>
      <c r="G61" s="259"/>
      <c r="H61" s="270"/>
      <c r="I61" s="270"/>
      <c r="J61" s="270"/>
    </row>
    <row r="62" spans="1:10" ht="15">
      <c r="A62" s="34"/>
      <c r="B62" s="54" t="s">
        <v>241</v>
      </c>
      <c r="C62" s="55"/>
      <c r="D62" s="55"/>
      <c r="E62" s="55"/>
      <c r="F62" s="55"/>
      <c r="G62" s="285">
        <f>11157946</f>
        <v>11157946</v>
      </c>
      <c r="H62" s="270"/>
      <c r="I62" s="270"/>
      <c r="J62" s="270"/>
    </row>
  </sheetData>
  <sheetProtection/>
  <mergeCells count="62">
    <mergeCell ref="C60:F60"/>
    <mergeCell ref="C33:F33"/>
    <mergeCell ref="C51:F51"/>
    <mergeCell ref="A53:G53"/>
    <mergeCell ref="A54:A55"/>
    <mergeCell ref="B54:B55"/>
    <mergeCell ref="C54:F55"/>
    <mergeCell ref="C35:F35"/>
    <mergeCell ref="C37:F37"/>
    <mergeCell ref="C36:F36"/>
    <mergeCell ref="C56:F56"/>
    <mergeCell ref="C57:F57"/>
    <mergeCell ref="C58:F58"/>
    <mergeCell ref="C21:F21"/>
    <mergeCell ref="C23:F23"/>
    <mergeCell ref="C24:F24"/>
    <mergeCell ref="C48:F48"/>
    <mergeCell ref="C49:F49"/>
    <mergeCell ref="C50:F50"/>
    <mergeCell ref="C38:F38"/>
    <mergeCell ref="G54:G55"/>
    <mergeCell ref="C25:F25"/>
    <mergeCell ref="C26:F26"/>
    <mergeCell ref="C28:F28"/>
    <mergeCell ref="C29:F29"/>
    <mergeCell ref="C31:F31"/>
    <mergeCell ref="C32:F32"/>
    <mergeCell ref="C45:F45"/>
    <mergeCell ref="C46:F46"/>
    <mergeCell ref="C47:F47"/>
    <mergeCell ref="A1:J1"/>
    <mergeCell ref="H5:J5"/>
    <mergeCell ref="C7:F7"/>
    <mergeCell ref="C11:F11"/>
    <mergeCell ref="C13:F13"/>
    <mergeCell ref="C16:F16"/>
    <mergeCell ref="C8:F8"/>
    <mergeCell ref="C9:F9"/>
    <mergeCell ref="C10:F10"/>
    <mergeCell ref="C12:F12"/>
    <mergeCell ref="A3:G3"/>
    <mergeCell ref="A4:G4"/>
    <mergeCell ref="A5:A6"/>
    <mergeCell ref="B5:B6"/>
    <mergeCell ref="C5:F6"/>
    <mergeCell ref="G5:G6"/>
    <mergeCell ref="C14:F14"/>
    <mergeCell ref="C15:F15"/>
    <mergeCell ref="C22:F22"/>
    <mergeCell ref="C27:F27"/>
    <mergeCell ref="C30:F30"/>
    <mergeCell ref="C34:F34"/>
    <mergeCell ref="C18:F18"/>
    <mergeCell ref="C19:F19"/>
    <mergeCell ref="C20:F20"/>
    <mergeCell ref="C17:F17"/>
    <mergeCell ref="C39:F39"/>
    <mergeCell ref="C43:F43"/>
    <mergeCell ref="C40:F40"/>
    <mergeCell ref="C44:F44"/>
    <mergeCell ref="C42:F42"/>
    <mergeCell ref="C41:F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zoomScalePageLayoutView="0" workbookViewId="0" topLeftCell="A13">
      <selection activeCell="J29" sqref="J29"/>
    </sheetView>
  </sheetViews>
  <sheetFormatPr defaultColWidth="9.140625" defaultRowHeight="15"/>
  <cols>
    <col min="1" max="1" width="27.28125" style="502" customWidth="1"/>
    <col min="2" max="2" width="27.57421875" style="527" customWidth="1"/>
    <col min="3" max="3" width="16.140625" style="502" bestFit="1" customWidth="1"/>
    <col min="4" max="4" width="12.7109375" style="502" customWidth="1"/>
    <col min="5" max="6" width="14.57421875" style="502" bestFit="1" customWidth="1"/>
    <col min="7" max="7" width="12.7109375" style="502" customWidth="1"/>
    <col min="8" max="8" width="14.57421875" style="502" bestFit="1" customWidth="1"/>
    <col min="9" max="11" width="12.7109375" style="502" customWidth="1"/>
    <col min="12" max="13" width="9.140625" style="502" customWidth="1"/>
    <col min="14" max="14" width="32.00390625" style="502" bestFit="1" customWidth="1"/>
    <col min="15" max="15" width="12.421875" style="502" bestFit="1" customWidth="1"/>
    <col min="16" max="17" width="20.7109375" style="502" bestFit="1" customWidth="1"/>
    <col min="18" max="18" width="21.8515625" style="502" bestFit="1" customWidth="1"/>
    <col min="19" max="19" width="20.7109375" style="502" bestFit="1" customWidth="1"/>
    <col min="20" max="20" width="21.8515625" style="502" bestFit="1" customWidth="1"/>
    <col min="21" max="21" width="32.28125" style="502" customWidth="1"/>
    <col min="22" max="22" width="14.57421875" style="502" bestFit="1" customWidth="1"/>
    <col min="23" max="23" width="23.57421875" style="502" bestFit="1" customWidth="1"/>
    <col min="24" max="16384" width="9.140625" style="502" customWidth="1"/>
  </cols>
  <sheetData>
    <row r="1" spans="1:11" ht="15">
      <c r="A1" s="619" t="s">
        <v>266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</row>
    <row r="2" spans="1:11" ht="15">
      <c r="A2" s="318"/>
      <c r="B2" s="503"/>
      <c r="C2" s="318"/>
      <c r="D2" s="318"/>
      <c r="E2" s="318"/>
      <c r="F2" s="318"/>
      <c r="G2" s="318"/>
      <c r="H2" s="318"/>
      <c r="I2" s="318"/>
      <c r="J2" s="318"/>
      <c r="K2" s="104"/>
    </row>
    <row r="3" spans="1:27" ht="15.75" thickBot="1">
      <c r="A3" s="96"/>
      <c r="B3" s="335"/>
      <c r="C3" s="104"/>
      <c r="D3" s="105"/>
      <c r="E3" s="106"/>
      <c r="F3" s="106"/>
      <c r="G3" s="106"/>
      <c r="H3" s="106"/>
      <c r="I3" s="104"/>
      <c r="J3" s="620"/>
      <c r="K3" s="620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</row>
    <row r="4" spans="1:27" ht="15">
      <c r="A4" s="621" t="s">
        <v>255</v>
      </c>
      <c r="B4" s="623" t="s">
        <v>242</v>
      </c>
      <c r="C4" s="625" t="s">
        <v>123</v>
      </c>
      <c r="D4" s="626"/>
      <c r="E4" s="627"/>
      <c r="F4" s="625" t="s">
        <v>132</v>
      </c>
      <c r="G4" s="626"/>
      <c r="H4" s="628"/>
      <c r="I4" s="625" t="s">
        <v>256</v>
      </c>
      <c r="J4" s="626"/>
      <c r="K4" s="627"/>
      <c r="N4" s="505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370"/>
      <c r="AA4" s="504"/>
    </row>
    <row r="5" spans="1:27" ht="26.25" thickBot="1">
      <c r="A5" s="622"/>
      <c r="B5" s="624"/>
      <c r="C5" s="308" t="s">
        <v>248</v>
      </c>
      <c r="D5" s="309" t="s">
        <v>249</v>
      </c>
      <c r="E5" s="310" t="s">
        <v>250</v>
      </c>
      <c r="F5" s="308" t="s">
        <v>248</v>
      </c>
      <c r="G5" s="309" t="s">
        <v>249</v>
      </c>
      <c r="H5" s="315" t="s">
        <v>250</v>
      </c>
      <c r="I5" s="107" t="s">
        <v>248</v>
      </c>
      <c r="J5" s="108" t="s">
        <v>249</v>
      </c>
      <c r="K5" s="109" t="s">
        <v>250</v>
      </c>
      <c r="N5" s="507"/>
      <c r="O5" s="508"/>
      <c r="P5" s="508"/>
      <c r="Q5" s="508"/>
      <c r="R5" s="508"/>
      <c r="S5" s="508"/>
      <c r="T5" s="508"/>
      <c r="U5" s="507"/>
      <c r="V5" s="507"/>
      <c r="W5" s="507"/>
      <c r="X5" s="507"/>
      <c r="Y5" s="507"/>
      <c r="Z5" s="370"/>
      <c r="AA5" s="504"/>
    </row>
    <row r="6" spans="1:27" ht="15">
      <c r="A6" s="305" t="s">
        <v>257</v>
      </c>
      <c r="B6" s="344" t="s">
        <v>258</v>
      </c>
      <c r="C6" s="339"/>
      <c r="D6" s="114"/>
      <c r="E6" s="115"/>
      <c r="F6" s="113"/>
      <c r="G6" s="114">
        <f>1486709*1.27</f>
        <v>1888120.43</v>
      </c>
      <c r="H6" s="314">
        <f>G6</f>
        <v>1888120.43</v>
      </c>
      <c r="I6" s="112"/>
      <c r="J6" s="110"/>
      <c r="K6" s="111"/>
      <c r="N6" s="504"/>
      <c r="O6" s="509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370"/>
      <c r="AA6" s="504"/>
    </row>
    <row r="7" spans="1:27" ht="15">
      <c r="A7" s="306" t="s">
        <v>259</v>
      </c>
      <c r="B7" s="346" t="s">
        <v>395</v>
      </c>
      <c r="C7" s="340">
        <f>(12415295*1.27)</f>
        <v>15767424.65</v>
      </c>
      <c r="D7" s="114"/>
      <c r="E7" s="115">
        <f>C7</f>
        <v>15767424.65</v>
      </c>
      <c r="F7" s="113"/>
      <c r="G7" s="114"/>
      <c r="H7" s="314"/>
      <c r="I7" s="113"/>
      <c r="J7" s="114"/>
      <c r="K7" s="115"/>
      <c r="N7" s="504"/>
      <c r="O7" s="509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370"/>
      <c r="AA7" s="504"/>
    </row>
    <row r="8" spans="1:27" ht="15">
      <c r="A8" s="306" t="s">
        <v>259</v>
      </c>
      <c r="B8" s="346" t="s">
        <v>427</v>
      </c>
      <c r="C8" s="510">
        <f>(16812371*1.27)+27028820</f>
        <v>48380531.17</v>
      </c>
      <c r="D8" s="114"/>
      <c r="E8" s="115">
        <f>C8</f>
        <v>48380531.17</v>
      </c>
      <c r="F8" s="113"/>
      <c r="G8" s="114"/>
      <c r="H8" s="314"/>
      <c r="I8" s="113"/>
      <c r="J8" s="114"/>
      <c r="K8" s="115"/>
      <c r="N8" s="504"/>
      <c r="O8" s="509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370"/>
      <c r="AA8" s="504"/>
    </row>
    <row r="9" spans="1:27" ht="26.25">
      <c r="A9" s="306" t="s">
        <v>259</v>
      </c>
      <c r="B9" s="346" t="s">
        <v>425</v>
      </c>
      <c r="C9" s="341"/>
      <c r="D9" s="337">
        <f>6316215*1.27</f>
        <v>8021593.05</v>
      </c>
      <c r="E9" s="115">
        <f>D9</f>
        <v>8021593.05</v>
      </c>
      <c r="F9" s="113"/>
      <c r="G9" s="114"/>
      <c r="H9" s="314"/>
      <c r="I9" s="113"/>
      <c r="J9" s="114"/>
      <c r="K9" s="115"/>
      <c r="N9" s="504"/>
      <c r="O9" s="511"/>
      <c r="P9" s="512"/>
      <c r="Q9" s="512"/>
      <c r="R9" s="512"/>
      <c r="S9" s="512"/>
      <c r="T9" s="512"/>
      <c r="U9" s="504"/>
      <c r="V9" s="504"/>
      <c r="W9" s="504"/>
      <c r="X9" s="504"/>
      <c r="Y9" s="504"/>
      <c r="Z9" s="370"/>
      <c r="AA9" s="504"/>
    </row>
    <row r="10" spans="1:27" ht="26.25">
      <c r="A10" s="306" t="s">
        <v>259</v>
      </c>
      <c r="B10" s="513" t="s">
        <v>394</v>
      </c>
      <c r="C10" s="341"/>
      <c r="D10" s="114"/>
      <c r="E10" s="115"/>
      <c r="F10" s="113"/>
      <c r="G10" s="114">
        <f>(3652098+365836)*1.27</f>
        <v>5102776.18</v>
      </c>
      <c r="H10" s="314">
        <f>G10</f>
        <v>5102776.18</v>
      </c>
      <c r="I10" s="113"/>
      <c r="J10" s="114"/>
      <c r="K10" s="115"/>
      <c r="N10" s="504"/>
      <c r="O10" s="511"/>
      <c r="P10" s="512"/>
      <c r="Q10" s="512"/>
      <c r="R10" s="512"/>
      <c r="S10" s="512"/>
      <c r="T10" s="512"/>
      <c r="U10" s="504"/>
      <c r="V10" s="504"/>
      <c r="W10" s="504"/>
      <c r="X10" s="504"/>
      <c r="Y10" s="504"/>
      <c r="Z10" s="370"/>
      <c r="AA10" s="504"/>
    </row>
    <row r="11" spans="1:27" ht="26.25">
      <c r="A11" s="306" t="s">
        <v>259</v>
      </c>
      <c r="B11" s="513" t="s">
        <v>426</v>
      </c>
      <c r="C11" s="341">
        <f>(38858265*1.27)+2</f>
        <v>49349998.55</v>
      </c>
      <c r="D11" s="114"/>
      <c r="E11" s="115">
        <f>C11</f>
        <v>49349998.55</v>
      </c>
      <c r="F11" s="113"/>
      <c r="G11" s="114"/>
      <c r="H11" s="314"/>
      <c r="I11" s="113"/>
      <c r="J11" s="114"/>
      <c r="K11" s="115"/>
      <c r="N11" s="504"/>
      <c r="O11" s="511"/>
      <c r="P11" s="512"/>
      <c r="Q11" s="512"/>
      <c r="R11" s="512"/>
      <c r="S11" s="512"/>
      <c r="T11" s="512"/>
      <c r="U11" s="504"/>
      <c r="V11" s="504"/>
      <c r="W11" s="504"/>
      <c r="X11" s="504"/>
      <c r="Y11" s="504"/>
      <c r="Z11" s="370"/>
      <c r="AA11" s="504"/>
    </row>
    <row r="12" spans="1:27" ht="15">
      <c r="A12" s="306" t="s">
        <v>259</v>
      </c>
      <c r="B12" s="347" t="s">
        <v>261</v>
      </c>
      <c r="C12" s="341"/>
      <c r="D12" s="114"/>
      <c r="E12" s="115"/>
      <c r="F12" s="113"/>
      <c r="G12" s="114">
        <f>(4803150*1.27)-1</f>
        <v>6099999.5</v>
      </c>
      <c r="H12" s="314">
        <f>G12</f>
        <v>6099999.5</v>
      </c>
      <c r="I12" s="118"/>
      <c r="J12" s="116"/>
      <c r="K12" s="117"/>
      <c r="N12" s="504"/>
      <c r="O12" s="514"/>
      <c r="P12" s="515"/>
      <c r="Q12" s="515"/>
      <c r="R12" s="515"/>
      <c r="S12" s="515"/>
      <c r="T12" s="616"/>
      <c r="U12" s="515"/>
      <c r="V12" s="515"/>
      <c r="W12" s="515"/>
      <c r="X12" s="515"/>
      <c r="Y12" s="515"/>
      <c r="Z12" s="370"/>
      <c r="AA12" s="504"/>
    </row>
    <row r="13" spans="1:27" ht="15">
      <c r="A13" s="306" t="s">
        <v>259</v>
      </c>
      <c r="B13" s="345" t="s">
        <v>262</v>
      </c>
      <c r="C13" s="341"/>
      <c r="D13" s="114">
        <f>3150000*1.27</f>
        <v>4000500</v>
      </c>
      <c r="E13" s="115">
        <f>D13</f>
        <v>4000500</v>
      </c>
      <c r="F13" s="113"/>
      <c r="G13" s="114"/>
      <c r="H13" s="314"/>
      <c r="I13" s="118"/>
      <c r="J13" s="116"/>
      <c r="K13" s="117"/>
      <c r="N13" s="504"/>
      <c r="O13" s="514"/>
      <c r="P13" s="515"/>
      <c r="Q13" s="515"/>
      <c r="R13" s="515"/>
      <c r="S13" s="515"/>
      <c r="T13" s="616"/>
      <c r="U13" s="515"/>
      <c r="V13" s="515"/>
      <c r="W13" s="515"/>
      <c r="X13" s="515"/>
      <c r="Y13" s="515"/>
      <c r="Z13" s="370"/>
      <c r="AA13" s="504"/>
    </row>
    <row r="14" spans="1:27" ht="15">
      <c r="A14" s="306" t="s">
        <v>259</v>
      </c>
      <c r="B14" s="345" t="s">
        <v>396</v>
      </c>
      <c r="C14" s="341"/>
      <c r="D14" s="114">
        <f>393701*1.27</f>
        <v>500000.27</v>
      </c>
      <c r="E14" s="115">
        <f>D14</f>
        <v>500000.27</v>
      </c>
      <c r="F14" s="113"/>
      <c r="G14" s="114"/>
      <c r="H14" s="314"/>
      <c r="I14" s="113"/>
      <c r="J14" s="114"/>
      <c r="K14" s="115"/>
      <c r="N14" s="504"/>
      <c r="O14" s="514"/>
      <c r="P14" s="515"/>
      <c r="Q14" s="515"/>
      <c r="R14" s="515"/>
      <c r="S14" s="515"/>
      <c r="T14" s="616"/>
      <c r="U14" s="515"/>
      <c r="V14" s="515"/>
      <c r="W14" s="515"/>
      <c r="X14" s="515"/>
      <c r="Y14" s="515"/>
      <c r="Z14" s="370"/>
      <c r="AA14" s="504"/>
    </row>
    <row r="15" spans="1:27" ht="25.5">
      <c r="A15" s="306" t="s">
        <v>259</v>
      </c>
      <c r="B15" s="345" t="s">
        <v>429</v>
      </c>
      <c r="C15" s="341"/>
      <c r="D15" s="114">
        <v>17286000</v>
      </c>
      <c r="E15" s="115">
        <f>D15</f>
        <v>17286000</v>
      </c>
      <c r="F15" s="113"/>
      <c r="G15" s="114">
        <f>2785000</f>
        <v>2785000</v>
      </c>
      <c r="H15" s="314">
        <f>G15</f>
        <v>2785000</v>
      </c>
      <c r="I15" s="113"/>
      <c r="J15" s="114"/>
      <c r="K15" s="115"/>
      <c r="N15" s="504"/>
      <c r="O15" s="514"/>
      <c r="P15" s="515"/>
      <c r="Q15" s="515"/>
      <c r="R15" s="515"/>
      <c r="S15" s="515"/>
      <c r="T15" s="516"/>
      <c r="U15" s="515"/>
      <c r="V15" s="515"/>
      <c r="W15" s="515"/>
      <c r="X15" s="515"/>
      <c r="Y15" s="515"/>
      <c r="Z15" s="370"/>
      <c r="AA15" s="504"/>
    </row>
    <row r="16" spans="1:27" ht="15">
      <c r="A16" s="306" t="s">
        <v>259</v>
      </c>
      <c r="B16" s="345" t="s">
        <v>397</v>
      </c>
      <c r="C16" s="341"/>
      <c r="D16" s="114"/>
      <c r="E16" s="115"/>
      <c r="F16" s="113"/>
      <c r="G16" s="114">
        <f>401786*1.27</f>
        <v>510268.22000000003</v>
      </c>
      <c r="H16" s="314">
        <f>G16</f>
        <v>510268.22000000003</v>
      </c>
      <c r="I16" s="113"/>
      <c r="J16" s="114"/>
      <c r="K16" s="115"/>
      <c r="N16" s="504"/>
      <c r="O16" s="517"/>
      <c r="P16" s="517"/>
      <c r="Q16" s="517"/>
      <c r="R16" s="517"/>
      <c r="S16" s="517"/>
      <c r="T16" s="517"/>
      <c r="U16" s="517"/>
      <c r="V16" s="514"/>
      <c r="W16" s="514"/>
      <c r="X16" s="514"/>
      <c r="Y16" s="514"/>
      <c r="Z16" s="370"/>
      <c r="AA16" s="504"/>
    </row>
    <row r="17" spans="1:27" ht="51">
      <c r="A17" s="306" t="s">
        <v>263</v>
      </c>
      <c r="B17" s="345" t="s">
        <v>260</v>
      </c>
      <c r="C17" s="341"/>
      <c r="D17" s="114">
        <v>1778000</v>
      </c>
      <c r="E17" s="115">
        <f>D17</f>
        <v>1778000</v>
      </c>
      <c r="F17" s="113"/>
      <c r="G17" s="114"/>
      <c r="H17" s="314"/>
      <c r="I17" s="113"/>
      <c r="J17" s="114"/>
      <c r="K17" s="115"/>
      <c r="N17" s="617"/>
      <c r="O17" s="617"/>
      <c r="P17" s="617"/>
      <c r="Q17" s="617"/>
      <c r="R17" s="617"/>
      <c r="S17" s="617"/>
      <c r="T17" s="617"/>
      <c r="U17" s="617"/>
      <c r="V17" s="518"/>
      <c r="W17" s="515"/>
      <c r="X17" s="515"/>
      <c r="Y17" s="515"/>
      <c r="Z17" s="370"/>
      <c r="AA17" s="504"/>
    </row>
    <row r="18" spans="1:27" ht="25.5">
      <c r="A18" s="306" t="s">
        <v>264</v>
      </c>
      <c r="B18" s="345" t="s">
        <v>260</v>
      </c>
      <c r="C18" s="341"/>
      <c r="D18" s="114">
        <v>1766200</v>
      </c>
      <c r="E18" s="115">
        <f>D18</f>
        <v>1766200</v>
      </c>
      <c r="F18" s="113"/>
      <c r="G18" s="114"/>
      <c r="H18" s="314"/>
      <c r="I18" s="113"/>
      <c r="J18" s="114"/>
      <c r="K18" s="115"/>
      <c r="N18" s="519"/>
      <c r="O18" s="520"/>
      <c r="P18" s="519"/>
      <c r="Q18" s="519"/>
      <c r="R18" s="519"/>
      <c r="S18" s="519"/>
      <c r="T18" s="521"/>
      <c r="U18" s="519"/>
      <c r="V18" s="518"/>
      <c r="W18" s="515"/>
      <c r="X18" s="515"/>
      <c r="Y18" s="515"/>
      <c r="Z18" s="370"/>
      <c r="AA18" s="504"/>
    </row>
    <row r="19" spans="1:27" ht="25.5">
      <c r="A19" s="305" t="s">
        <v>265</v>
      </c>
      <c r="B19" s="345" t="s">
        <v>260</v>
      </c>
      <c r="C19" s="341"/>
      <c r="D19" s="114">
        <f>2362205*1.27</f>
        <v>3000000.35</v>
      </c>
      <c r="E19" s="115">
        <f>D19</f>
        <v>3000000.35</v>
      </c>
      <c r="F19" s="113"/>
      <c r="G19" s="114"/>
      <c r="H19" s="314"/>
      <c r="I19" s="113"/>
      <c r="J19" s="114"/>
      <c r="K19" s="115"/>
      <c r="N19" s="519"/>
      <c r="O19" s="520"/>
      <c r="P19" s="519"/>
      <c r="Q19" s="519"/>
      <c r="R19" s="519"/>
      <c r="S19" s="519"/>
      <c r="T19" s="521"/>
      <c r="U19" s="519"/>
      <c r="V19" s="518"/>
      <c r="W19" s="515"/>
      <c r="X19" s="515"/>
      <c r="Y19" s="515"/>
      <c r="Z19" s="370"/>
      <c r="AA19" s="504"/>
    </row>
    <row r="20" spans="1:27" ht="17.25">
      <c r="A20" s="522" t="s">
        <v>413</v>
      </c>
      <c r="B20" s="348" t="s">
        <v>244</v>
      </c>
      <c r="C20" s="341"/>
      <c r="D20" s="114">
        <v>800000</v>
      </c>
      <c r="E20" s="115">
        <f>D20</f>
        <v>800000</v>
      </c>
      <c r="F20" s="113"/>
      <c r="G20" s="114"/>
      <c r="H20" s="314"/>
      <c r="I20" s="113"/>
      <c r="J20" s="114"/>
      <c r="K20" s="115"/>
      <c r="N20" s="519"/>
      <c r="O20" s="520"/>
      <c r="P20" s="519"/>
      <c r="Q20" s="519"/>
      <c r="R20" s="519"/>
      <c r="S20" s="519"/>
      <c r="T20" s="521"/>
      <c r="U20" s="519"/>
      <c r="V20" s="518"/>
      <c r="W20" s="515"/>
      <c r="X20" s="515"/>
      <c r="Y20" s="515"/>
      <c r="Z20" s="370"/>
      <c r="AA20" s="504"/>
    </row>
    <row r="21" spans="1:27" ht="28.5">
      <c r="A21" s="523" t="s">
        <v>398</v>
      </c>
      <c r="B21" s="524" t="s">
        <v>399</v>
      </c>
      <c r="C21" s="342"/>
      <c r="D21" s="349">
        <v>80000</v>
      </c>
      <c r="E21" s="525">
        <f>D21</f>
        <v>80000</v>
      </c>
      <c r="F21" s="113"/>
      <c r="G21" s="114"/>
      <c r="H21" s="314"/>
      <c r="I21" s="113"/>
      <c r="J21" s="114"/>
      <c r="K21" s="115"/>
      <c r="N21" s="519"/>
      <c r="O21" s="519"/>
      <c r="P21" s="519"/>
      <c r="Q21" s="519"/>
      <c r="R21" s="519"/>
      <c r="S21" s="519"/>
      <c r="T21" s="519"/>
      <c r="U21" s="519"/>
      <c r="V21" s="518"/>
      <c r="W21" s="515"/>
      <c r="X21" s="504"/>
      <c r="Y21" s="504"/>
      <c r="Z21" s="370"/>
      <c r="AA21" s="504"/>
    </row>
    <row r="22" spans="1:27" ht="18" thickBot="1">
      <c r="A22" s="329" t="s">
        <v>400</v>
      </c>
      <c r="B22" s="346" t="s">
        <v>401</v>
      </c>
      <c r="C22" s="343"/>
      <c r="D22" s="330"/>
      <c r="E22" s="311"/>
      <c r="F22" s="312"/>
      <c r="G22" s="313">
        <v>100000</v>
      </c>
      <c r="H22" s="526">
        <f>G22</f>
        <v>100000</v>
      </c>
      <c r="I22" s="312"/>
      <c r="J22" s="313"/>
      <c r="K22" s="311"/>
      <c r="N22" s="519"/>
      <c r="O22" s="519"/>
      <c r="P22" s="519"/>
      <c r="Q22" s="519"/>
      <c r="R22" s="519"/>
      <c r="S22" s="519"/>
      <c r="T22" s="519"/>
      <c r="U22" s="519"/>
      <c r="V22" s="518"/>
      <c r="W22" s="504"/>
      <c r="X22" s="504"/>
      <c r="Y22" s="504"/>
      <c r="Z22" s="370"/>
      <c r="AA22" s="504"/>
    </row>
    <row r="23" spans="1:27" ht="18" thickBot="1">
      <c r="A23" s="338" t="s">
        <v>253</v>
      </c>
      <c r="B23" s="301"/>
      <c r="C23" s="307">
        <f>SUM(C6:C22)</f>
        <v>113497954.37</v>
      </c>
      <c r="D23" s="303">
        <f>SUM(D6:D22)</f>
        <v>37232293.67</v>
      </c>
      <c r="E23" s="304">
        <f>SUM(C23:D23)</f>
        <v>150730248.04000002</v>
      </c>
      <c r="F23" s="307">
        <f>SUM(F6:F22)</f>
        <v>0</v>
      </c>
      <c r="G23" s="303">
        <f>SUM(G6:G22)</f>
        <v>16486164.33</v>
      </c>
      <c r="H23" s="304">
        <f>SUM(H6:H22)</f>
        <v>16486164.33</v>
      </c>
      <c r="I23" s="302">
        <f>SUM(I6:I19)</f>
        <v>0</v>
      </c>
      <c r="J23" s="303">
        <f>SUM(J6:J19)</f>
        <v>0</v>
      </c>
      <c r="K23" s="304">
        <f>SUM(K6:K19)</f>
        <v>0</v>
      </c>
      <c r="N23" s="519"/>
      <c r="O23" s="519"/>
      <c r="P23" s="519"/>
      <c r="Q23" s="519"/>
      <c r="R23" s="519"/>
      <c r="S23" s="519"/>
      <c r="T23" s="519"/>
      <c r="U23" s="519"/>
      <c r="V23" s="518"/>
      <c r="W23" s="504"/>
      <c r="X23" s="504"/>
      <c r="Y23" s="504"/>
      <c r="Z23" s="370"/>
      <c r="AA23" s="504"/>
    </row>
    <row r="24" spans="14:27" ht="17.25">
      <c r="N24" s="519"/>
      <c r="O24" s="519"/>
      <c r="P24" s="519"/>
      <c r="Q24" s="519"/>
      <c r="R24" s="519"/>
      <c r="S24" s="519"/>
      <c r="T24" s="519"/>
      <c r="U24" s="519"/>
      <c r="V24" s="518"/>
      <c r="W24" s="504"/>
      <c r="X24" s="504"/>
      <c r="Y24" s="504"/>
      <c r="Z24" s="370"/>
      <c r="AA24" s="504"/>
    </row>
    <row r="25" spans="5:27" ht="17.25">
      <c r="E25" s="528"/>
      <c r="F25" s="528"/>
      <c r="H25" s="528"/>
      <c r="N25" s="618"/>
      <c r="O25" s="618"/>
      <c r="P25" s="618"/>
      <c r="Q25" s="618"/>
      <c r="R25" s="618"/>
      <c r="S25" s="618"/>
      <c r="T25" s="618"/>
      <c r="U25" s="618"/>
      <c r="V25" s="529"/>
      <c r="W25" s="504"/>
      <c r="X25" s="504"/>
      <c r="Y25" s="504"/>
      <c r="Z25" s="370"/>
      <c r="AA25" s="504"/>
    </row>
    <row r="26" spans="6:27" ht="17.25">
      <c r="F26" s="528"/>
      <c r="H26" s="528"/>
      <c r="N26" s="434"/>
      <c r="O26" s="530"/>
      <c r="P26" s="434"/>
      <c r="Q26" s="434"/>
      <c r="R26" s="434"/>
      <c r="S26" s="434"/>
      <c r="T26" s="434"/>
      <c r="U26" s="434"/>
      <c r="V26" s="518"/>
      <c r="W26" s="504"/>
      <c r="X26" s="504"/>
      <c r="Y26" s="504"/>
      <c r="Z26" s="370"/>
      <c r="AA26" s="504"/>
    </row>
    <row r="27" spans="14:27" ht="17.25">
      <c r="N27" s="434"/>
      <c r="O27" s="530"/>
      <c r="P27" s="434"/>
      <c r="Q27" s="434"/>
      <c r="R27" s="434"/>
      <c r="S27" s="434"/>
      <c r="T27" s="434"/>
      <c r="U27" s="434"/>
      <c r="V27" s="518"/>
      <c r="W27" s="504"/>
      <c r="X27" s="504"/>
      <c r="Y27" s="504"/>
      <c r="Z27" s="370"/>
      <c r="AA27" s="504"/>
    </row>
    <row r="28" spans="8:27" ht="17.25">
      <c r="H28" s="528"/>
      <c r="N28" s="434"/>
      <c r="O28" s="530"/>
      <c r="P28" s="434"/>
      <c r="Q28" s="434"/>
      <c r="R28" s="434"/>
      <c r="S28" s="434"/>
      <c r="T28" s="434"/>
      <c r="U28" s="434"/>
      <c r="V28" s="518"/>
      <c r="W28" s="504"/>
      <c r="X28" s="504"/>
      <c r="Y28" s="504"/>
      <c r="Z28" s="370"/>
      <c r="AA28" s="504"/>
    </row>
    <row r="29" spans="4:27" ht="17.25">
      <c r="D29" s="531"/>
      <c r="N29" s="434"/>
      <c r="O29" s="434"/>
      <c r="P29" s="434"/>
      <c r="Q29" s="434"/>
      <c r="R29" s="434"/>
      <c r="S29" s="434"/>
      <c r="T29" s="434"/>
      <c r="U29" s="434"/>
      <c r="V29" s="518"/>
      <c r="W29" s="504"/>
      <c r="X29" s="504"/>
      <c r="Y29" s="504"/>
      <c r="Z29" s="370"/>
      <c r="AA29" s="504"/>
    </row>
    <row r="30" spans="14:27" ht="17.25">
      <c r="N30" s="434"/>
      <c r="O30" s="434"/>
      <c r="P30" s="434"/>
      <c r="Q30" s="434"/>
      <c r="R30" s="434"/>
      <c r="S30" s="434"/>
      <c r="T30" s="434"/>
      <c r="U30" s="434"/>
      <c r="V30" s="518"/>
      <c r="W30" s="504"/>
      <c r="X30" s="504"/>
      <c r="Y30" s="504"/>
      <c r="Z30" s="370"/>
      <c r="AA30" s="504"/>
    </row>
    <row r="31" spans="14:27" ht="17.25">
      <c r="N31" s="434"/>
      <c r="O31" s="434"/>
      <c r="P31" s="434"/>
      <c r="Q31" s="434"/>
      <c r="R31" s="434"/>
      <c r="S31" s="434"/>
      <c r="T31" s="434"/>
      <c r="U31" s="434"/>
      <c r="V31" s="518"/>
      <c r="W31" s="504"/>
      <c r="X31" s="504"/>
      <c r="Y31" s="504"/>
      <c r="Z31" s="370"/>
      <c r="AA31" s="504"/>
    </row>
    <row r="32" spans="14:27" ht="17.25">
      <c r="N32" s="434"/>
      <c r="O32" s="434"/>
      <c r="P32" s="434"/>
      <c r="Q32" s="434"/>
      <c r="R32" s="434"/>
      <c r="S32" s="434"/>
      <c r="T32" s="434"/>
      <c r="U32" s="434"/>
      <c r="V32" s="518"/>
      <c r="W32" s="504"/>
      <c r="X32" s="504"/>
      <c r="Y32" s="504"/>
      <c r="Z32" s="370"/>
      <c r="AA32" s="504"/>
    </row>
    <row r="33" spans="14:27" ht="17.25">
      <c r="N33" s="617"/>
      <c r="O33" s="617"/>
      <c r="P33" s="617"/>
      <c r="Q33" s="617"/>
      <c r="R33" s="617"/>
      <c r="S33" s="617"/>
      <c r="T33" s="617"/>
      <c r="U33" s="617"/>
      <c r="V33" s="532"/>
      <c r="W33" s="504"/>
      <c r="X33" s="504"/>
      <c r="Y33" s="504"/>
      <c r="Z33" s="370"/>
      <c r="AA33" s="504"/>
    </row>
    <row r="34" spans="14:27" ht="17.25">
      <c r="N34" s="519"/>
      <c r="O34" s="520"/>
      <c r="P34" s="520"/>
      <c r="Q34" s="520"/>
      <c r="R34" s="520"/>
      <c r="S34" s="520"/>
      <c r="T34" s="520"/>
      <c r="U34" s="520"/>
      <c r="V34" s="533"/>
      <c r="W34" s="515"/>
      <c r="X34" s="515"/>
      <c r="Y34" s="504"/>
      <c r="Z34" s="370"/>
      <c r="AA34" s="504"/>
    </row>
    <row r="35" spans="14:27" ht="17.25">
      <c r="N35" s="519"/>
      <c r="O35" s="520"/>
      <c r="P35" s="520"/>
      <c r="Q35" s="520"/>
      <c r="R35" s="520"/>
      <c r="S35" s="520"/>
      <c r="T35" s="520"/>
      <c r="U35" s="520"/>
      <c r="V35" s="533"/>
      <c r="W35" s="515"/>
      <c r="X35" s="515"/>
      <c r="Y35" s="504"/>
      <c r="Z35" s="370"/>
      <c r="AA35" s="504"/>
    </row>
    <row r="36" spans="14:27" ht="17.25">
      <c r="N36" s="519"/>
      <c r="O36" s="520"/>
      <c r="P36" s="520"/>
      <c r="Q36" s="520"/>
      <c r="R36" s="520"/>
      <c r="S36" s="520"/>
      <c r="T36" s="520"/>
      <c r="U36" s="520"/>
      <c r="V36" s="533"/>
      <c r="W36" s="515"/>
      <c r="X36" s="515"/>
      <c r="Y36" s="504"/>
      <c r="Z36" s="370"/>
      <c r="AA36" s="504"/>
    </row>
    <row r="37" spans="14:27" ht="17.25">
      <c r="N37" s="519"/>
      <c r="O37" s="519"/>
      <c r="P37" s="519"/>
      <c r="Q37" s="519"/>
      <c r="R37" s="519"/>
      <c r="S37" s="519"/>
      <c r="T37" s="519"/>
      <c r="U37" s="519"/>
      <c r="V37" s="533"/>
      <c r="W37" s="515"/>
      <c r="X37" s="515"/>
      <c r="Y37" s="504"/>
      <c r="Z37" s="370"/>
      <c r="AA37" s="504"/>
    </row>
    <row r="38" spans="14:27" ht="17.25">
      <c r="N38" s="519"/>
      <c r="O38" s="519"/>
      <c r="P38" s="519"/>
      <c r="Q38" s="519"/>
      <c r="R38" s="519"/>
      <c r="S38" s="519"/>
      <c r="T38" s="519"/>
      <c r="U38" s="519"/>
      <c r="V38" s="533"/>
      <c r="W38" s="515"/>
      <c r="X38" s="515"/>
      <c r="Y38" s="504"/>
      <c r="Z38" s="370"/>
      <c r="AA38" s="504"/>
    </row>
    <row r="39" spans="14:27" ht="17.25">
      <c r="N39" s="519"/>
      <c r="O39" s="519"/>
      <c r="P39" s="519"/>
      <c r="Q39" s="519"/>
      <c r="R39" s="519"/>
      <c r="S39" s="519"/>
      <c r="T39" s="519"/>
      <c r="U39" s="519"/>
      <c r="V39" s="533"/>
      <c r="W39" s="515"/>
      <c r="X39" s="515"/>
      <c r="Y39" s="504"/>
      <c r="Z39" s="370"/>
      <c r="AA39" s="504"/>
    </row>
    <row r="40" spans="14:27" ht="17.25">
      <c r="N40" s="519"/>
      <c r="O40" s="519"/>
      <c r="P40" s="519"/>
      <c r="Q40" s="519"/>
      <c r="R40" s="519"/>
      <c r="S40" s="519"/>
      <c r="T40" s="519"/>
      <c r="U40" s="519"/>
      <c r="V40" s="533"/>
      <c r="W40" s="515"/>
      <c r="X40" s="515"/>
      <c r="Y40" s="504"/>
      <c r="Z40" s="370"/>
      <c r="AA40" s="504"/>
    </row>
    <row r="41" spans="14:27" ht="15">
      <c r="N41" s="504"/>
      <c r="O41" s="515"/>
      <c r="P41" s="515"/>
      <c r="Q41" s="515"/>
      <c r="R41" s="515"/>
      <c r="S41" s="515"/>
      <c r="T41" s="515"/>
      <c r="U41" s="515"/>
      <c r="V41" s="504"/>
      <c r="W41" s="504"/>
      <c r="X41" s="504"/>
      <c r="Y41" s="504"/>
      <c r="Z41" s="370"/>
      <c r="AA41" s="504"/>
    </row>
    <row r="42" spans="14:27" ht="15">
      <c r="N42" s="504"/>
      <c r="O42" s="504"/>
      <c r="P42" s="504"/>
      <c r="Q42" s="504"/>
      <c r="R42" s="504"/>
      <c r="S42" s="504"/>
      <c r="T42" s="504"/>
      <c r="U42" s="504"/>
      <c r="V42" s="504"/>
      <c r="W42" s="504"/>
      <c r="X42" s="504"/>
      <c r="Y42" s="504"/>
      <c r="Z42" s="370"/>
      <c r="AA42" s="504"/>
    </row>
    <row r="43" spans="14:27" ht="15">
      <c r="N43" s="504"/>
      <c r="O43" s="504"/>
      <c r="P43" s="515"/>
      <c r="Q43" s="515"/>
      <c r="R43" s="504"/>
      <c r="S43" s="504"/>
      <c r="T43" s="504"/>
      <c r="U43" s="504"/>
      <c r="V43" s="504"/>
      <c r="W43" s="504"/>
      <c r="X43" s="504"/>
      <c r="Y43" s="504"/>
      <c r="Z43" s="370"/>
      <c r="AA43" s="504"/>
    </row>
    <row r="44" spans="14:27" ht="15">
      <c r="N44" s="504"/>
      <c r="O44" s="504"/>
      <c r="P44" s="504"/>
      <c r="Q44" s="515"/>
      <c r="R44" s="504"/>
      <c r="S44" s="504"/>
      <c r="T44" s="504"/>
      <c r="U44" s="504"/>
      <c r="V44" s="504"/>
      <c r="W44" s="504"/>
      <c r="X44" s="504"/>
      <c r="Y44" s="504"/>
      <c r="Z44" s="370"/>
      <c r="AA44" s="504"/>
    </row>
    <row r="45" spans="14:27" ht="15">
      <c r="N45" s="504"/>
      <c r="O45" s="504"/>
      <c r="P45" s="504"/>
      <c r="Q45" s="504"/>
      <c r="R45" s="504"/>
      <c r="S45" s="504"/>
      <c r="T45" s="504"/>
      <c r="U45" s="504"/>
      <c r="V45" s="504"/>
      <c r="W45" s="504"/>
      <c r="X45" s="504"/>
      <c r="Y45" s="504"/>
      <c r="Z45" s="370"/>
      <c r="AA45" s="504"/>
    </row>
    <row r="46" spans="14:27" ht="15">
      <c r="N46" s="504"/>
      <c r="O46" s="504"/>
      <c r="P46" s="504"/>
      <c r="Q46" s="504"/>
      <c r="R46" s="504"/>
      <c r="S46" s="504"/>
      <c r="T46" s="504"/>
      <c r="U46" s="515"/>
      <c r="V46" s="504"/>
      <c r="W46" s="504"/>
      <c r="X46" s="504"/>
      <c r="Y46" s="504"/>
      <c r="Z46" s="504"/>
      <c r="AA46" s="504"/>
    </row>
    <row r="47" spans="14:27" ht="15">
      <c r="N47" s="504"/>
      <c r="O47" s="504"/>
      <c r="P47" s="504"/>
      <c r="Q47" s="504"/>
      <c r="R47" s="504"/>
      <c r="S47" s="504"/>
      <c r="T47" s="504"/>
      <c r="U47" s="504"/>
      <c r="V47" s="504"/>
      <c r="W47" s="504"/>
      <c r="X47" s="504"/>
      <c r="Y47" s="504"/>
      <c r="Z47" s="504"/>
      <c r="AA47" s="504"/>
    </row>
  </sheetData>
  <sheetProtection/>
  <mergeCells count="11">
    <mergeCell ref="I4:K4"/>
    <mergeCell ref="T12:T14"/>
    <mergeCell ref="N17:U17"/>
    <mergeCell ref="N25:U25"/>
    <mergeCell ref="N33:U33"/>
    <mergeCell ref="A1:K1"/>
    <mergeCell ref="J3:K3"/>
    <mergeCell ref="A4:A5"/>
    <mergeCell ref="B4:B5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1.7109375" style="0" customWidth="1"/>
    <col min="2" max="5" width="20.7109375" style="0" customWidth="1"/>
    <col min="8" max="8" width="13.57421875" style="0" bestFit="1" customWidth="1"/>
  </cols>
  <sheetData>
    <row r="1" spans="1:5" ht="15">
      <c r="A1" s="549" t="s">
        <v>254</v>
      </c>
      <c r="B1" s="549"/>
      <c r="C1" s="549"/>
      <c r="D1" s="549"/>
      <c r="E1" s="549"/>
    </row>
    <row r="2" spans="1:5" ht="15.75" thickBot="1">
      <c r="A2" s="96"/>
      <c r="B2" s="97"/>
      <c r="C2" s="97"/>
      <c r="D2" s="96"/>
      <c r="E2" s="97"/>
    </row>
    <row r="3" spans="1:5" ht="39" thickBot="1">
      <c r="A3" s="102" t="s">
        <v>247</v>
      </c>
      <c r="B3" s="103" t="s">
        <v>248</v>
      </c>
      <c r="C3" s="103" t="s">
        <v>249</v>
      </c>
      <c r="D3" s="103" t="s">
        <v>250</v>
      </c>
      <c r="E3" s="103" t="s">
        <v>251</v>
      </c>
    </row>
    <row r="4" spans="1:8" ht="25.5">
      <c r="A4" s="98" t="s">
        <v>452</v>
      </c>
      <c r="B4" s="99">
        <v>31500000</v>
      </c>
      <c r="C4" s="99"/>
      <c r="D4" s="99">
        <f>SUM(B4:C4)</f>
        <v>31500000</v>
      </c>
      <c r="E4" s="99" t="s">
        <v>252</v>
      </c>
      <c r="H4" s="300"/>
    </row>
    <row r="5" spans="1:5" ht="25.5">
      <c r="A5" s="98" t="s">
        <v>446</v>
      </c>
      <c r="B5" s="99"/>
      <c r="C5" s="99">
        <v>3687509</v>
      </c>
      <c r="D5" s="99">
        <f>SUM(B5:C5)</f>
        <v>3687509</v>
      </c>
      <c r="E5" s="99" t="s">
        <v>444</v>
      </c>
    </row>
    <row r="6" spans="1:5" ht="25.5">
      <c r="A6" s="98" t="s">
        <v>447</v>
      </c>
      <c r="B6" s="99"/>
      <c r="C6" s="99">
        <v>10645669</v>
      </c>
      <c r="D6" s="99">
        <f>SUM(B6:C6)</f>
        <v>10645669</v>
      </c>
      <c r="E6" s="397" t="s">
        <v>444</v>
      </c>
    </row>
    <row r="7" spans="1:5" ht="25.5">
      <c r="A7" s="497" t="s">
        <v>453</v>
      </c>
      <c r="B7" s="397"/>
      <c r="C7" s="397">
        <v>16905000</v>
      </c>
      <c r="D7" s="397">
        <f>C7</f>
        <v>16905000</v>
      </c>
      <c r="E7" s="397" t="s">
        <v>444</v>
      </c>
    </row>
    <row r="8" spans="1:5" ht="15.75" thickBot="1">
      <c r="A8" s="497" t="s">
        <v>443</v>
      </c>
      <c r="B8" s="397"/>
      <c r="C8" s="397">
        <f>D8</f>
        <v>25492397</v>
      </c>
      <c r="D8" s="397">
        <f>D9-D7-D6-D5-D4</f>
        <v>25492397</v>
      </c>
      <c r="E8" s="397" t="s">
        <v>444</v>
      </c>
    </row>
    <row r="9" spans="1:5" ht="15.75" thickBot="1">
      <c r="A9" s="100" t="s">
        <v>253</v>
      </c>
      <c r="B9" s="101">
        <f>SUM(B4:B8)</f>
        <v>31500000</v>
      </c>
      <c r="C9" s="403">
        <f>C8+C7+C6+C5+C4</f>
        <v>56730575</v>
      </c>
      <c r="D9" s="101">
        <f>' Önkorm A'!G40</f>
        <v>88230575</v>
      </c>
      <c r="E9" s="101">
        <f>SUM(E4:E8)</f>
        <v>0</v>
      </c>
    </row>
    <row r="11" ht="15">
      <c r="B11" s="300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23.8515625" style="96" customWidth="1"/>
    <col min="2" max="2" width="23.00390625" style="414" bestFit="1" customWidth="1"/>
    <col min="3" max="3" width="9.140625" style="96" hidden="1" customWidth="1"/>
    <col min="4" max="4" width="12.00390625" style="335" hidden="1" customWidth="1"/>
    <col min="5" max="5" width="12.00390625" style="97" hidden="1" customWidth="1"/>
    <col min="6" max="6" width="12.00390625" style="97" bestFit="1" customWidth="1"/>
    <col min="7" max="8" width="13.7109375" style="97" customWidth="1"/>
    <col min="9" max="11" width="12.00390625" style="96" hidden="1" customWidth="1"/>
    <col min="12" max="12" width="9.140625" style="96" customWidth="1"/>
    <col min="13" max="13" width="13.140625" style="96" bestFit="1" customWidth="1"/>
    <col min="14" max="15" width="12.00390625" style="96" bestFit="1" customWidth="1"/>
    <col min="16" max="16384" width="9.140625" style="96" customWidth="1"/>
  </cols>
  <sheetData>
    <row r="1" spans="1:11" ht="12.75">
      <c r="A1" s="549" t="s">
        <v>436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11" ht="13.5" thickBot="1">
      <c r="A2" s="1"/>
      <c r="B2" s="412"/>
      <c r="C2" s="1"/>
      <c r="D2" s="1"/>
      <c r="E2" s="1"/>
      <c r="J2" s="392"/>
      <c r="K2" s="392"/>
    </row>
    <row r="3" spans="1:14" s="393" customFormat="1" ht="12.75">
      <c r="A3" s="632" t="s">
        <v>279</v>
      </c>
      <c r="B3" s="634" t="s">
        <v>406</v>
      </c>
      <c r="C3" s="629" t="s">
        <v>407</v>
      </c>
      <c r="D3" s="630"/>
      <c r="E3" s="631"/>
      <c r="F3" s="629" t="s">
        <v>411</v>
      </c>
      <c r="G3" s="630"/>
      <c r="H3" s="631"/>
      <c r="I3" s="636" t="s">
        <v>410</v>
      </c>
      <c r="J3" s="637"/>
      <c r="K3" s="637"/>
      <c r="L3" s="629" t="s">
        <v>448</v>
      </c>
      <c r="M3" s="630"/>
      <c r="N3" s="631"/>
    </row>
    <row r="4" spans="1:14" s="393" customFormat="1" ht="26.25" thickBot="1">
      <c r="A4" s="633"/>
      <c r="B4" s="635"/>
      <c r="C4" s="410" t="s">
        <v>408</v>
      </c>
      <c r="D4" s="411" t="s">
        <v>409</v>
      </c>
      <c r="E4" s="411" t="s">
        <v>250</v>
      </c>
      <c r="F4" s="410" t="s">
        <v>408</v>
      </c>
      <c r="G4" s="411" t="s">
        <v>409</v>
      </c>
      <c r="H4" s="411" t="s">
        <v>250</v>
      </c>
      <c r="I4" s="394" t="s">
        <v>408</v>
      </c>
      <c r="J4" s="395" t="s">
        <v>409</v>
      </c>
      <c r="K4" s="483" t="s">
        <v>250</v>
      </c>
      <c r="L4" s="410" t="s">
        <v>408</v>
      </c>
      <c r="M4" s="411" t="s">
        <v>409</v>
      </c>
      <c r="N4" s="411" t="s">
        <v>250</v>
      </c>
    </row>
    <row r="5" spans="1:15" s="393" customFormat="1" ht="13.5" thickBot="1">
      <c r="A5" s="407" t="s">
        <v>407</v>
      </c>
      <c r="B5" s="413"/>
      <c r="C5" s="408"/>
      <c r="D5" s="408"/>
      <c r="E5" s="408"/>
      <c r="F5" s="408"/>
      <c r="G5" s="408"/>
      <c r="H5" s="409"/>
      <c r="I5" s="331"/>
      <c r="J5" s="332"/>
      <c r="K5" s="333"/>
      <c r="L5" s="484"/>
      <c r="M5" s="485"/>
      <c r="N5" s="486">
        <f>'bev.össz'!G41-H22</f>
        <v>122192287</v>
      </c>
      <c r="O5" s="487"/>
    </row>
    <row r="6" spans="1:14" s="399" customFormat="1" ht="51">
      <c r="A6" s="406" t="s">
        <v>411</v>
      </c>
      <c r="B6" s="423" t="s">
        <v>412</v>
      </c>
      <c r="C6" s="415"/>
      <c r="D6" s="397"/>
      <c r="E6" s="398">
        <f>SUM(C6:D6)</f>
        <v>0</v>
      </c>
      <c r="F6" s="430">
        <v>124008</v>
      </c>
      <c r="G6" s="430"/>
      <c r="H6" s="430">
        <f>SUM(F6:G6)</f>
        <v>124008</v>
      </c>
      <c r="I6" s="415">
        <f>C6+F6</f>
        <v>124008</v>
      </c>
      <c r="J6" s="397">
        <f>D6+G6</f>
        <v>0</v>
      </c>
      <c r="K6" s="398">
        <f aca="true" t="shared" si="0" ref="K6:K20">SUM(I6:J6)</f>
        <v>124008</v>
      </c>
      <c r="L6" s="478"/>
      <c r="M6" s="478"/>
      <c r="N6" s="478"/>
    </row>
    <row r="7" spans="1:14" s="399" customFormat="1" ht="25.5">
      <c r="A7" s="396"/>
      <c r="B7" s="424" t="s">
        <v>430</v>
      </c>
      <c r="C7" s="415"/>
      <c r="D7" s="397"/>
      <c r="E7" s="398">
        <f aca="true" t="shared" si="1" ref="E7:E20">SUM(C7:D7)</f>
        <v>0</v>
      </c>
      <c r="F7" s="431"/>
      <c r="G7" s="431">
        <v>568455</v>
      </c>
      <c r="H7" s="431">
        <f aca="true" t="shared" si="2" ref="H7:H20">SUM(F7:G7)</f>
        <v>568455</v>
      </c>
      <c r="I7" s="415">
        <f aca="true" t="shared" si="3" ref="I7:J20">C7+F7</f>
        <v>0</v>
      </c>
      <c r="J7" s="397">
        <f t="shared" si="3"/>
        <v>568455</v>
      </c>
      <c r="K7" s="398">
        <f t="shared" si="0"/>
        <v>568455</v>
      </c>
      <c r="L7" s="334"/>
      <c r="M7" s="334"/>
      <c r="N7" s="334"/>
    </row>
    <row r="8" spans="1:14" s="399" customFormat="1" ht="25.5">
      <c r="A8" s="396"/>
      <c r="B8" s="425" t="s">
        <v>413</v>
      </c>
      <c r="C8" s="415"/>
      <c r="D8" s="397"/>
      <c r="E8" s="398">
        <f t="shared" si="1"/>
        <v>0</v>
      </c>
      <c r="F8" s="431">
        <v>98553</v>
      </c>
      <c r="G8" s="431"/>
      <c r="H8" s="431">
        <f t="shared" si="2"/>
        <v>98553</v>
      </c>
      <c r="I8" s="415">
        <f t="shared" si="3"/>
        <v>98553</v>
      </c>
      <c r="J8" s="397">
        <f t="shared" si="3"/>
        <v>0</v>
      </c>
      <c r="K8" s="398">
        <f t="shared" si="0"/>
        <v>98553</v>
      </c>
      <c r="L8" s="334"/>
      <c r="M8" s="334"/>
      <c r="N8" s="334"/>
    </row>
    <row r="9" spans="1:14" s="399" customFormat="1" ht="51">
      <c r="A9" s="396"/>
      <c r="B9" s="425" t="s">
        <v>414</v>
      </c>
      <c r="C9" s="415"/>
      <c r="D9" s="397"/>
      <c r="E9" s="398">
        <f t="shared" si="1"/>
        <v>0</v>
      </c>
      <c r="F9" s="431">
        <v>6717210</v>
      </c>
      <c r="G9" s="431"/>
      <c r="H9" s="431">
        <f t="shared" si="2"/>
        <v>6717210</v>
      </c>
      <c r="I9" s="415">
        <f t="shared" si="3"/>
        <v>6717210</v>
      </c>
      <c r="J9" s="397">
        <f t="shared" si="3"/>
        <v>0</v>
      </c>
      <c r="K9" s="398">
        <f t="shared" si="0"/>
        <v>6717210</v>
      </c>
      <c r="L9" s="334"/>
      <c r="M9" s="334"/>
      <c r="N9" s="334"/>
    </row>
    <row r="10" spans="1:14" s="399" customFormat="1" ht="38.25">
      <c r="A10" s="396"/>
      <c r="B10" s="425" t="s">
        <v>415</v>
      </c>
      <c r="C10" s="415"/>
      <c r="D10" s="397"/>
      <c r="E10" s="398">
        <f t="shared" si="1"/>
        <v>0</v>
      </c>
      <c r="F10" s="431">
        <f>1420000+743551+25562</f>
        <v>2189113</v>
      </c>
      <c r="G10" s="431"/>
      <c r="H10" s="431">
        <f t="shared" si="2"/>
        <v>2189113</v>
      </c>
      <c r="I10" s="415">
        <f t="shared" si="3"/>
        <v>2189113</v>
      </c>
      <c r="J10" s="397">
        <f t="shared" si="3"/>
        <v>0</v>
      </c>
      <c r="K10" s="398">
        <f t="shared" si="0"/>
        <v>2189113</v>
      </c>
      <c r="L10" s="334"/>
      <c r="M10" s="334"/>
      <c r="N10" s="334"/>
    </row>
    <row r="11" spans="1:14" s="399" customFormat="1" ht="25.5">
      <c r="A11" s="396"/>
      <c r="B11" s="425" t="s">
        <v>400</v>
      </c>
      <c r="C11" s="415"/>
      <c r="D11" s="397"/>
      <c r="E11" s="398">
        <f t="shared" si="1"/>
        <v>0</v>
      </c>
      <c r="F11" s="431">
        <v>966000</v>
      </c>
      <c r="G11" s="431"/>
      <c r="H11" s="431">
        <f t="shared" si="2"/>
        <v>966000</v>
      </c>
      <c r="I11" s="415">
        <f t="shared" si="3"/>
        <v>966000</v>
      </c>
      <c r="J11" s="397">
        <f t="shared" si="3"/>
        <v>0</v>
      </c>
      <c r="K11" s="398">
        <f t="shared" si="0"/>
        <v>966000</v>
      </c>
      <c r="L11" s="334"/>
      <c r="M11" s="334"/>
      <c r="N11" s="334"/>
    </row>
    <row r="12" spans="1:14" s="399" customFormat="1" ht="25.5">
      <c r="A12" s="396"/>
      <c r="B12" s="425" t="s">
        <v>416</v>
      </c>
      <c r="C12" s="415"/>
      <c r="D12" s="397"/>
      <c r="E12" s="398">
        <f t="shared" si="1"/>
        <v>0</v>
      </c>
      <c r="F12" s="431"/>
      <c r="G12" s="431"/>
      <c r="H12" s="431">
        <f t="shared" si="2"/>
        <v>0</v>
      </c>
      <c r="I12" s="415">
        <f t="shared" si="3"/>
        <v>0</v>
      </c>
      <c r="J12" s="397">
        <f t="shared" si="3"/>
        <v>0</v>
      </c>
      <c r="K12" s="398">
        <f t="shared" si="0"/>
        <v>0</v>
      </c>
      <c r="L12" s="334"/>
      <c r="M12" s="334"/>
      <c r="N12" s="334"/>
    </row>
    <row r="13" spans="1:14" s="399" customFormat="1" ht="12.75">
      <c r="A13" s="396"/>
      <c r="B13" s="425" t="s">
        <v>431</v>
      </c>
      <c r="C13" s="415"/>
      <c r="D13" s="397"/>
      <c r="E13" s="398"/>
      <c r="F13" s="431">
        <v>249587</v>
      </c>
      <c r="G13" s="431"/>
      <c r="H13" s="431">
        <f t="shared" si="2"/>
        <v>249587</v>
      </c>
      <c r="I13" s="415">
        <f t="shared" si="3"/>
        <v>249587</v>
      </c>
      <c r="J13" s="397"/>
      <c r="K13" s="398"/>
      <c r="L13" s="334"/>
      <c r="M13" s="334"/>
      <c r="N13" s="334"/>
    </row>
    <row r="14" spans="1:14" s="399" customFormat="1" ht="12.75">
      <c r="A14" s="396"/>
      <c r="B14" s="425" t="s">
        <v>432</v>
      </c>
      <c r="C14" s="415"/>
      <c r="D14" s="397"/>
      <c r="E14" s="398">
        <f t="shared" si="1"/>
        <v>0</v>
      </c>
      <c r="F14" s="431"/>
      <c r="G14" s="431">
        <f>'[8]Beruházás'!$I$42</f>
        <v>64147956</v>
      </c>
      <c r="H14" s="431">
        <f t="shared" si="2"/>
        <v>64147956</v>
      </c>
      <c r="I14" s="415">
        <f t="shared" si="3"/>
        <v>0</v>
      </c>
      <c r="J14" s="397">
        <f t="shared" si="3"/>
        <v>64147956</v>
      </c>
      <c r="K14" s="398">
        <f t="shared" si="0"/>
        <v>64147956</v>
      </c>
      <c r="L14" s="334"/>
      <c r="M14" s="334"/>
      <c r="N14" s="334"/>
    </row>
    <row r="15" spans="1:14" s="399" customFormat="1" ht="25.5">
      <c r="A15" s="421"/>
      <c r="B15" s="426" t="s">
        <v>433</v>
      </c>
      <c r="C15" s="422"/>
      <c r="D15" s="400"/>
      <c r="E15" s="428"/>
      <c r="F15" s="334"/>
      <c r="G15" s="432">
        <v>62708363</v>
      </c>
      <c r="H15" s="432">
        <f t="shared" si="2"/>
        <v>62708363</v>
      </c>
      <c r="I15" s="416"/>
      <c r="J15" s="405"/>
      <c r="K15" s="429"/>
      <c r="L15" s="334"/>
      <c r="M15" s="334"/>
      <c r="N15" s="334"/>
    </row>
    <row r="16" spans="1:14" s="399" customFormat="1" ht="12.75">
      <c r="A16" s="421"/>
      <c r="B16" s="426" t="s">
        <v>435</v>
      </c>
      <c r="C16" s="422"/>
      <c r="D16" s="400"/>
      <c r="E16" s="428"/>
      <c r="F16" s="334"/>
      <c r="G16" s="432">
        <v>17785000</v>
      </c>
      <c r="H16" s="432">
        <v>17785000</v>
      </c>
      <c r="I16" s="415"/>
      <c r="J16" s="398"/>
      <c r="K16" s="398"/>
      <c r="L16" s="334"/>
      <c r="M16" s="334"/>
      <c r="N16" s="334"/>
    </row>
    <row r="17" spans="1:14" s="399" customFormat="1" ht="12.75">
      <c r="A17" s="421"/>
      <c r="B17" s="427" t="s">
        <v>434</v>
      </c>
      <c r="C17" s="416"/>
      <c r="D17" s="405"/>
      <c r="E17" s="429"/>
      <c r="F17" s="432">
        <v>15621000</v>
      </c>
      <c r="G17" s="432"/>
      <c r="H17" s="432">
        <f t="shared" si="2"/>
        <v>15621000</v>
      </c>
      <c r="I17" s="415" t="e">
        <f>#REF!+#REF!</f>
        <v>#REF!</v>
      </c>
      <c r="J17" s="397" t="e">
        <f>#REF!+G17</f>
        <v>#REF!</v>
      </c>
      <c r="K17" s="398" t="e">
        <f t="shared" si="0"/>
        <v>#REF!</v>
      </c>
      <c r="L17" s="334"/>
      <c r="M17" s="334"/>
      <c r="N17" s="334"/>
    </row>
    <row r="18" spans="1:14" s="399" customFormat="1" ht="38.25">
      <c r="A18" s="421"/>
      <c r="B18" s="470" t="s">
        <v>450</v>
      </c>
      <c r="C18" s="416"/>
      <c r="D18" s="405"/>
      <c r="E18" s="429"/>
      <c r="F18" s="471"/>
      <c r="G18" s="432">
        <v>365836</v>
      </c>
      <c r="H18" s="471">
        <f>G18</f>
        <v>365836</v>
      </c>
      <c r="I18" s="336"/>
      <c r="J18" s="401"/>
      <c r="K18" s="402"/>
      <c r="L18" s="334"/>
      <c r="M18" s="334"/>
      <c r="N18" s="334"/>
    </row>
    <row r="19" spans="1:14" s="399" customFormat="1" ht="38.25">
      <c r="A19" s="421"/>
      <c r="B19" s="470" t="s">
        <v>449</v>
      </c>
      <c r="C19" s="473"/>
      <c r="D19" s="474"/>
      <c r="E19" s="475">
        <f>SUM(C19:D19)</f>
        <v>0</v>
      </c>
      <c r="F19" s="471"/>
      <c r="G19" s="471">
        <v>2286000</v>
      </c>
      <c r="H19" s="471">
        <f>SUM(F19:G19)</f>
        <v>2286000</v>
      </c>
      <c r="I19" s="336"/>
      <c r="J19" s="401"/>
      <c r="K19" s="402"/>
      <c r="L19" s="479"/>
      <c r="M19" s="479"/>
      <c r="N19" s="479"/>
    </row>
    <row r="20" spans="1:14" s="399" customFormat="1" ht="38.25">
      <c r="A20" s="421"/>
      <c r="B20" s="477" t="s">
        <v>445</v>
      </c>
      <c r="C20" s="405"/>
      <c r="D20" s="405"/>
      <c r="E20" s="429">
        <f t="shared" si="1"/>
        <v>0</v>
      </c>
      <c r="F20" s="432"/>
      <c r="G20" s="432"/>
      <c r="H20" s="432">
        <f t="shared" si="2"/>
        <v>0</v>
      </c>
      <c r="I20" s="416">
        <f t="shared" si="3"/>
        <v>0</v>
      </c>
      <c r="J20" s="405">
        <f t="shared" si="3"/>
        <v>0</v>
      </c>
      <c r="K20" s="429">
        <f t="shared" si="0"/>
        <v>0</v>
      </c>
      <c r="L20" s="334"/>
      <c r="M20" s="481">
        <v>43671808</v>
      </c>
      <c r="N20" s="481">
        <f>M20</f>
        <v>43671808</v>
      </c>
    </row>
    <row r="21" spans="1:14" s="399" customFormat="1" ht="26.25" thickBot="1">
      <c r="A21" s="472"/>
      <c r="B21" s="477" t="s">
        <v>451</v>
      </c>
      <c r="C21" s="405"/>
      <c r="D21" s="405"/>
      <c r="E21" s="429"/>
      <c r="F21" s="433"/>
      <c r="G21" s="433"/>
      <c r="H21" s="433"/>
      <c r="I21" s="416"/>
      <c r="J21" s="405"/>
      <c r="K21" s="429"/>
      <c r="L21" s="334"/>
      <c r="M21" s="481">
        <v>10645669</v>
      </c>
      <c r="N21" s="481">
        <f>M21</f>
        <v>10645669</v>
      </c>
    </row>
    <row r="22" spans="1:14" s="404" customFormat="1" ht="13.5" thickBot="1">
      <c r="A22" s="417" t="s">
        <v>253</v>
      </c>
      <c r="B22" s="418">
        <f>SUM(B6:B21)</f>
        <v>0</v>
      </c>
      <c r="C22" s="419">
        <f>SUM(C6:C20)</f>
        <v>0</v>
      </c>
      <c r="D22" s="420">
        <f aca="true" t="shared" si="4" ref="D22:K22">SUM(D6:D20)</f>
        <v>0</v>
      </c>
      <c r="E22" s="420">
        <f t="shared" si="4"/>
        <v>0</v>
      </c>
      <c r="F22" s="419">
        <f t="shared" si="4"/>
        <v>25965471</v>
      </c>
      <c r="G22" s="420">
        <f t="shared" si="4"/>
        <v>147861610</v>
      </c>
      <c r="H22" s="420">
        <f>SUM(H6:H20)</f>
        <v>173827081</v>
      </c>
      <c r="I22" s="419" t="e">
        <f t="shared" si="4"/>
        <v>#REF!</v>
      </c>
      <c r="J22" s="420" t="e">
        <f t="shared" si="4"/>
        <v>#REF!</v>
      </c>
      <c r="K22" s="476" t="e">
        <f t="shared" si="4"/>
        <v>#REF!</v>
      </c>
      <c r="L22" s="480"/>
      <c r="M22" s="482">
        <f>M20+M21</f>
        <v>54317477</v>
      </c>
      <c r="N22" s="482">
        <f>M22</f>
        <v>54317477</v>
      </c>
    </row>
  </sheetData>
  <sheetProtection/>
  <mergeCells count="7">
    <mergeCell ref="L3:N3"/>
    <mergeCell ref="A1:K1"/>
    <mergeCell ref="A3:A4"/>
    <mergeCell ref="B3:B4"/>
    <mergeCell ref="C3:E3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7">
      <selection activeCell="H20" sqref="H20"/>
    </sheetView>
  </sheetViews>
  <sheetFormatPr defaultColWidth="9.140625" defaultRowHeight="15"/>
  <cols>
    <col min="1" max="1" width="46.00390625" style="0" bestFit="1" customWidth="1"/>
    <col min="3" max="3" width="15.57421875" style="0" bestFit="1" customWidth="1"/>
    <col min="5" max="5" width="49.421875" style="0" bestFit="1" customWidth="1"/>
    <col min="7" max="7" width="15.57421875" style="0" bestFit="1" customWidth="1"/>
    <col min="8" max="8" width="14.140625" style="0" bestFit="1" customWidth="1"/>
  </cols>
  <sheetData>
    <row r="1" spans="1:7" ht="15">
      <c r="A1" s="638" t="s">
        <v>417</v>
      </c>
      <c r="B1" s="638"/>
      <c r="C1" s="638"/>
      <c r="D1" s="638"/>
      <c r="E1" s="638"/>
      <c r="F1" s="638"/>
      <c r="G1" s="638"/>
    </row>
    <row r="3" spans="1:7" ht="15.75">
      <c r="A3" s="640" t="s">
        <v>385</v>
      </c>
      <c r="B3" s="640"/>
      <c r="C3" s="640"/>
      <c r="D3" s="640"/>
      <c r="E3" s="640"/>
      <c r="F3" s="640"/>
      <c r="G3" s="640"/>
    </row>
    <row r="4" spans="1:6" ht="15.75">
      <c r="A4" s="164"/>
      <c r="B4" s="164"/>
      <c r="C4" s="164"/>
      <c r="D4" s="164"/>
      <c r="E4" s="164"/>
      <c r="F4" s="164"/>
    </row>
    <row r="5" spans="1:7" ht="15.75">
      <c r="A5" s="639" t="s">
        <v>386</v>
      </c>
      <c r="B5" s="639"/>
      <c r="C5" s="639"/>
      <c r="D5" s="639"/>
      <c r="E5" s="639"/>
      <c r="F5" s="639"/>
      <c r="G5" s="639"/>
    </row>
    <row r="6" ht="15.75">
      <c r="H6" s="119"/>
    </row>
    <row r="7" spans="1:8" ht="26.25">
      <c r="A7" s="120" t="s">
        <v>4</v>
      </c>
      <c r="B7" s="120" t="s">
        <v>267</v>
      </c>
      <c r="C7" s="121" t="s">
        <v>278</v>
      </c>
      <c r="D7" s="122"/>
      <c r="E7" s="120" t="s">
        <v>4</v>
      </c>
      <c r="F7" s="120" t="s">
        <v>267</v>
      </c>
      <c r="G7" s="121" t="s">
        <v>278</v>
      </c>
      <c r="H7" s="119"/>
    </row>
    <row r="8" spans="1:8" ht="15.75">
      <c r="A8" s="123" t="s">
        <v>268</v>
      </c>
      <c r="B8" s="123" t="s">
        <v>173</v>
      </c>
      <c r="C8" s="124">
        <f>'bev.össz'!G15</f>
        <v>550414486</v>
      </c>
      <c r="D8" s="125"/>
      <c r="E8" s="123" t="s">
        <v>48</v>
      </c>
      <c r="F8" s="123" t="s">
        <v>49</v>
      </c>
      <c r="G8" s="123">
        <f>'kiadás össz.'!G19</f>
        <v>406407845.5</v>
      </c>
      <c r="H8" s="126"/>
    </row>
    <row r="9" spans="1:8" ht="15.75">
      <c r="A9" s="123" t="s">
        <v>269</v>
      </c>
      <c r="B9" s="123" t="s">
        <v>187</v>
      </c>
      <c r="C9" s="123">
        <f>'bev.össz'!G22</f>
        <v>58600000</v>
      </c>
      <c r="D9" s="125"/>
      <c r="E9" s="123" t="s">
        <v>51</v>
      </c>
      <c r="F9" s="123" t="s">
        <v>52</v>
      </c>
      <c r="G9" s="123">
        <f>'kiadás össz.'!G20</f>
        <v>52662465.050000004</v>
      </c>
      <c r="H9" s="126"/>
    </row>
    <row r="10" spans="1:8" ht="15">
      <c r="A10" s="123" t="s">
        <v>270</v>
      </c>
      <c r="B10" s="123" t="s">
        <v>201</v>
      </c>
      <c r="C10" s="123">
        <f>'bev.össz'!G29</f>
        <v>65396066.30000001</v>
      </c>
      <c r="D10" s="125"/>
      <c r="E10" s="123" t="s">
        <v>90</v>
      </c>
      <c r="F10" s="123" t="s">
        <v>91</v>
      </c>
      <c r="G10" s="123">
        <f>'kiadás össz.'!G34</f>
        <v>215029319.2</v>
      </c>
      <c r="H10" s="127"/>
    </row>
    <row r="11" spans="1:8" ht="15">
      <c r="A11" s="123" t="s">
        <v>271</v>
      </c>
      <c r="B11" s="123" t="s">
        <v>209</v>
      </c>
      <c r="C11" s="123">
        <f>'bev.össz'!G33</f>
        <v>3687509</v>
      </c>
      <c r="D11" s="125"/>
      <c r="E11" s="123" t="s">
        <v>272</v>
      </c>
      <c r="F11" s="123" t="s">
        <v>100</v>
      </c>
      <c r="G11" s="123">
        <f>'kiadás össz.'!G37</f>
        <v>12000000</v>
      </c>
      <c r="H11" s="127"/>
    </row>
    <row r="12" spans="1:8" ht="15">
      <c r="A12" s="128" t="s">
        <v>273</v>
      </c>
      <c r="B12" s="128"/>
      <c r="C12" s="129">
        <f>SUM(C8:C11)</f>
        <v>678098061.3</v>
      </c>
      <c r="D12" s="125"/>
      <c r="E12" s="123" t="s">
        <v>111</v>
      </c>
      <c r="F12" s="123" t="s">
        <v>112</v>
      </c>
      <c r="G12" s="123">
        <f>'kiadás össz.'!G41</f>
        <v>115880575</v>
      </c>
      <c r="H12" s="127"/>
    </row>
    <row r="13" spans="1:8" ht="15">
      <c r="A13" s="123" t="s">
        <v>274</v>
      </c>
      <c r="B13" s="123" t="s">
        <v>177</v>
      </c>
      <c r="C13" s="123">
        <f>'bev.össz'!G17</f>
        <v>11328185</v>
      </c>
      <c r="D13" s="125"/>
      <c r="E13" s="128" t="s">
        <v>273</v>
      </c>
      <c r="F13" s="128"/>
      <c r="G13" s="129">
        <f>SUM(G8:G12)</f>
        <v>801980204.75</v>
      </c>
      <c r="H13" s="127"/>
    </row>
    <row r="14" spans="1:8" ht="15">
      <c r="A14" s="123" t="s">
        <v>204</v>
      </c>
      <c r="B14" s="123" t="s">
        <v>205</v>
      </c>
      <c r="C14" s="123">
        <f>'bev.össz'!G31</f>
        <v>5785000</v>
      </c>
      <c r="D14" s="125"/>
      <c r="E14" s="123" t="s">
        <v>123</v>
      </c>
      <c r="F14" s="123" t="s">
        <v>124</v>
      </c>
      <c r="G14" s="123">
        <f>'kiadás össz.'!G46</f>
        <v>150667253.87401575</v>
      </c>
      <c r="H14" s="127"/>
    </row>
    <row r="15" spans="1:8" ht="15">
      <c r="A15" s="123" t="s">
        <v>212</v>
      </c>
      <c r="B15" s="123" t="s">
        <v>213</v>
      </c>
      <c r="C15" s="123">
        <f>'bev.össz'!G35</f>
        <v>1000000</v>
      </c>
      <c r="D15" s="125"/>
      <c r="E15" s="123" t="s">
        <v>132</v>
      </c>
      <c r="F15" s="123" t="s">
        <v>133</v>
      </c>
      <c r="G15" s="123">
        <f>'kiadás össz.'!G49</f>
        <v>16486164.467142858</v>
      </c>
      <c r="H15" s="130"/>
    </row>
    <row r="16" spans="1:8" ht="15.75">
      <c r="A16" s="128" t="s">
        <v>275</v>
      </c>
      <c r="B16" s="128"/>
      <c r="C16" s="129">
        <f>SUM(C13:C15)</f>
        <v>18113185</v>
      </c>
      <c r="D16" s="125"/>
      <c r="E16" s="123" t="s">
        <v>138</v>
      </c>
      <c r="F16" s="123" t="s">
        <v>139</v>
      </c>
      <c r="G16" s="123">
        <f>'kiadás össz.'!G51</f>
        <v>6000000</v>
      </c>
      <c r="H16" s="126"/>
    </row>
    <row r="17" spans="1:8" ht="15">
      <c r="A17" s="128" t="s">
        <v>223</v>
      </c>
      <c r="B17" s="128" t="s">
        <v>224</v>
      </c>
      <c r="C17" s="129">
        <f>'bev.össz'!G44</f>
        <v>689446776.05</v>
      </c>
      <c r="D17" s="125"/>
      <c r="E17" s="128" t="s">
        <v>275</v>
      </c>
      <c r="F17" s="128"/>
      <c r="G17" s="129">
        <f>SUM(G14:G16)</f>
        <v>173153418.3411586</v>
      </c>
      <c r="H17" s="127"/>
    </row>
    <row r="18" spans="1:8" ht="15">
      <c r="A18" s="123"/>
      <c r="B18" s="123"/>
      <c r="C18" s="131"/>
      <c r="D18" s="125"/>
      <c r="E18" s="128" t="s">
        <v>151</v>
      </c>
      <c r="F18" s="128" t="s">
        <v>152</v>
      </c>
      <c r="G18" s="129">
        <f>'kiadás össz.'!G59</f>
        <v>410524399.05</v>
      </c>
      <c r="H18" s="127"/>
    </row>
    <row r="19" spans="1:8" ht="15">
      <c r="A19" s="132"/>
      <c r="B19" s="132"/>
      <c r="C19" s="132"/>
      <c r="D19" s="133"/>
      <c r="E19" s="132"/>
      <c r="F19" s="132"/>
      <c r="G19" s="132"/>
      <c r="H19" s="134"/>
    </row>
    <row r="20" spans="1:8" ht="15">
      <c r="A20" s="135" t="s">
        <v>276</v>
      </c>
      <c r="B20" s="135"/>
      <c r="C20" s="135">
        <f>C12+C16+C17+C18</f>
        <v>1385658022.35</v>
      </c>
      <c r="D20" s="136"/>
      <c r="E20" s="135" t="s">
        <v>277</v>
      </c>
      <c r="F20" s="135"/>
      <c r="G20" s="135">
        <f>G13+G17+G18</f>
        <v>1385658022.1411586</v>
      </c>
      <c r="H20" s="137"/>
    </row>
  </sheetData>
  <sheetProtection/>
  <mergeCells count="3">
    <mergeCell ref="A1:G1"/>
    <mergeCell ref="A5:G5"/>
    <mergeCell ref="A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8">
      <selection activeCell="N26" sqref="N26"/>
    </sheetView>
  </sheetViews>
  <sheetFormatPr defaultColWidth="9.140625" defaultRowHeight="15"/>
  <cols>
    <col min="1" max="1" width="27.421875" style="0" customWidth="1"/>
  </cols>
  <sheetData>
    <row r="1" spans="1:16" ht="15">
      <c r="A1" s="549" t="s">
        <v>419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</row>
    <row r="2" spans="1:16" ht="15">
      <c r="A2" s="96"/>
      <c r="B2" s="138"/>
      <c r="C2" s="139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34.5" customHeight="1">
      <c r="A3" s="641" t="s">
        <v>279</v>
      </c>
      <c r="B3" s="643" t="s">
        <v>280</v>
      </c>
      <c r="C3" s="644"/>
      <c r="D3" s="645"/>
      <c r="E3" s="643" t="s">
        <v>281</v>
      </c>
      <c r="F3" s="644"/>
      <c r="G3" s="645"/>
      <c r="H3" s="643" t="s">
        <v>282</v>
      </c>
      <c r="I3" s="644"/>
      <c r="J3" s="645"/>
      <c r="K3" s="643" t="s">
        <v>283</v>
      </c>
      <c r="L3" s="644"/>
      <c r="M3" s="645"/>
      <c r="N3" s="643" t="s">
        <v>253</v>
      </c>
      <c r="O3" s="644"/>
      <c r="P3" s="645"/>
    </row>
    <row r="4" spans="1:16" ht="26.25" thickBot="1">
      <c r="A4" s="642"/>
      <c r="B4" s="140" t="s">
        <v>284</v>
      </c>
      <c r="C4" s="141" t="s">
        <v>285</v>
      </c>
      <c r="D4" s="142" t="s">
        <v>250</v>
      </c>
      <c r="E4" s="140" t="s">
        <v>284</v>
      </c>
      <c r="F4" s="141" t="s">
        <v>285</v>
      </c>
      <c r="G4" s="142" t="s">
        <v>250</v>
      </c>
      <c r="H4" s="140" t="s">
        <v>284</v>
      </c>
      <c r="I4" s="141" t="s">
        <v>285</v>
      </c>
      <c r="J4" s="142" t="s">
        <v>250</v>
      </c>
      <c r="K4" s="140" t="s">
        <v>284</v>
      </c>
      <c r="L4" s="141" t="s">
        <v>285</v>
      </c>
      <c r="M4" s="142" t="s">
        <v>250</v>
      </c>
      <c r="N4" s="140" t="s">
        <v>284</v>
      </c>
      <c r="O4" s="141" t="s">
        <v>285</v>
      </c>
      <c r="P4" s="143" t="s">
        <v>250</v>
      </c>
    </row>
    <row r="5" spans="1:16" ht="15.75" thickTop="1">
      <c r="A5" s="144"/>
      <c r="B5" s="145"/>
      <c r="C5" s="146"/>
      <c r="D5" s="147"/>
      <c r="E5" s="145"/>
      <c r="F5" s="146"/>
      <c r="G5" s="147"/>
      <c r="H5" s="145"/>
      <c r="I5" s="146"/>
      <c r="J5" s="147"/>
      <c r="K5" s="145"/>
      <c r="L5" s="146"/>
      <c r="M5" s="147"/>
      <c r="N5" s="145"/>
      <c r="O5" s="146"/>
      <c r="P5" s="148"/>
    </row>
    <row r="6" spans="1:16" ht="27">
      <c r="A6" s="149" t="s">
        <v>286</v>
      </c>
      <c r="B6" s="150"/>
      <c r="C6" s="151"/>
      <c r="D6" s="152"/>
      <c r="E6" s="150"/>
      <c r="F6" s="151"/>
      <c r="G6" s="152"/>
      <c r="H6" s="150"/>
      <c r="I6" s="151"/>
      <c r="J6" s="152"/>
      <c r="K6" s="150"/>
      <c r="L6" s="151"/>
      <c r="M6" s="152"/>
      <c r="N6" s="150"/>
      <c r="O6" s="151"/>
      <c r="P6" s="153"/>
    </row>
    <row r="7" spans="1:16" ht="15">
      <c r="A7" s="144" t="s">
        <v>287</v>
      </c>
      <c r="B7" s="145"/>
      <c r="C7" s="146"/>
      <c r="D7" s="147">
        <f aca="true" t="shared" si="0" ref="D7:D12">SUM(B7:C7)</f>
        <v>0</v>
      </c>
      <c r="E7" s="145">
        <v>2</v>
      </c>
      <c r="F7" s="146"/>
      <c r="G7" s="152">
        <f>SUM(E7:F7)</f>
        <v>2</v>
      </c>
      <c r="H7" s="145"/>
      <c r="I7" s="146"/>
      <c r="J7" s="147">
        <f>SUM(H7:I7)</f>
        <v>0</v>
      </c>
      <c r="K7" s="145"/>
      <c r="L7" s="146"/>
      <c r="M7" s="147">
        <f>SUM(K7:L7)</f>
        <v>0</v>
      </c>
      <c r="N7" s="145">
        <f>B7+E7+H7+K7</f>
        <v>2</v>
      </c>
      <c r="O7" s="146"/>
      <c r="P7" s="153">
        <f>SUM(N7:O7)</f>
        <v>2</v>
      </c>
    </row>
    <row r="8" spans="1:16" ht="15">
      <c r="A8" s="144" t="s">
        <v>288</v>
      </c>
      <c r="B8" s="145"/>
      <c r="C8" s="146"/>
      <c r="D8" s="147">
        <f t="shared" si="0"/>
        <v>0</v>
      </c>
      <c r="E8" s="145">
        <v>1</v>
      </c>
      <c r="F8" s="146"/>
      <c r="G8" s="152">
        <f>SUM(E8:F8)</f>
        <v>1</v>
      </c>
      <c r="H8" s="145"/>
      <c r="I8" s="146"/>
      <c r="J8" s="147"/>
      <c r="K8" s="145"/>
      <c r="L8" s="146"/>
      <c r="M8" s="147"/>
      <c r="N8" s="145">
        <f aca="true" t="shared" si="1" ref="N8:N13">B8+E8+H8+K8</f>
        <v>1</v>
      </c>
      <c r="O8" s="146"/>
      <c r="P8" s="153">
        <f>G8+J8+M8</f>
        <v>1</v>
      </c>
    </row>
    <row r="9" spans="1:16" ht="25.5">
      <c r="A9" s="144" t="s">
        <v>289</v>
      </c>
      <c r="B9" s="145"/>
      <c r="C9" s="146"/>
      <c r="D9" s="147">
        <f t="shared" si="0"/>
        <v>0</v>
      </c>
      <c r="E9" s="145">
        <v>4</v>
      </c>
      <c r="F9" s="146"/>
      <c r="G9" s="152">
        <f>SUM(E9:F9)</f>
        <v>4</v>
      </c>
      <c r="H9" s="145">
        <v>3</v>
      </c>
      <c r="I9" s="146"/>
      <c r="J9" s="152">
        <f>SUM(H9:I9)</f>
        <v>3</v>
      </c>
      <c r="K9" s="145"/>
      <c r="L9" s="146"/>
      <c r="M9" s="147"/>
      <c r="N9" s="145">
        <f t="shared" si="1"/>
        <v>7</v>
      </c>
      <c r="O9" s="146"/>
      <c r="P9" s="153">
        <f aca="true" t="shared" si="2" ref="P9:P32">G9+J9+M9</f>
        <v>7</v>
      </c>
    </row>
    <row r="10" spans="1:16" ht="15">
      <c r="A10" s="144" t="s">
        <v>290</v>
      </c>
      <c r="B10" s="145"/>
      <c r="C10" s="146"/>
      <c r="D10" s="147">
        <f t="shared" si="0"/>
        <v>0</v>
      </c>
      <c r="E10" s="145">
        <v>2</v>
      </c>
      <c r="F10" s="146"/>
      <c r="G10" s="152">
        <f>SUM(E10:F10)</f>
        <v>2</v>
      </c>
      <c r="H10" s="145"/>
      <c r="I10" s="146"/>
      <c r="J10" s="147"/>
      <c r="K10" s="145"/>
      <c r="L10" s="146"/>
      <c r="M10" s="147"/>
      <c r="N10" s="145">
        <f t="shared" si="1"/>
        <v>2</v>
      </c>
      <c r="O10" s="146"/>
      <c r="P10" s="153">
        <f>G10+J10+M10</f>
        <v>2</v>
      </c>
    </row>
    <row r="11" spans="1:16" ht="15">
      <c r="A11" s="144" t="s">
        <v>291</v>
      </c>
      <c r="B11" s="145"/>
      <c r="C11" s="146"/>
      <c r="D11" s="147">
        <f t="shared" si="0"/>
        <v>0</v>
      </c>
      <c r="E11" s="145"/>
      <c r="F11" s="146"/>
      <c r="G11" s="147"/>
      <c r="H11" s="145"/>
      <c r="I11" s="146"/>
      <c r="J11" s="147"/>
      <c r="K11" s="145">
        <v>12</v>
      </c>
      <c r="L11" s="146"/>
      <c r="M11" s="152">
        <v>12</v>
      </c>
      <c r="N11" s="145">
        <f t="shared" si="1"/>
        <v>12</v>
      </c>
      <c r="O11" s="146"/>
      <c r="P11" s="153">
        <f>G11+J11+M11</f>
        <v>12</v>
      </c>
    </row>
    <row r="12" spans="1:16" ht="15">
      <c r="A12" s="144" t="s">
        <v>292</v>
      </c>
      <c r="B12" s="145"/>
      <c r="C12" s="146"/>
      <c r="D12" s="147">
        <f t="shared" si="0"/>
        <v>0</v>
      </c>
      <c r="E12" s="145"/>
      <c r="F12" s="146"/>
      <c r="G12" s="147"/>
      <c r="H12" s="145">
        <v>1</v>
      </c>
      <c r="I12" s="146"/>
      <c r="J12" s="152">
        <f>SUM(H12:I12)</f>
        <v>1</v>
      </c>
      <c r="K12" s="145"/>
      <c r="L12" s="146"/>
      <c r="M12" s="147"/>
      <c r="N12" s="145">
        <f t="shared" si="1"/>
        <v>1</v>
      </c>
      <c r="O12" s="146"/>
      <c r="P12" s="153">
        <f>G12+J12+M12</f>
        <v>1</v>
      </c>
    </row>
    <row r="13" spans="1:16" ht="27">
      <c r="A13" s="438" t="s">
        <v>293</v>
      </c>
      <c r="B13" s="439">
        <f>SUM(B7:B12)</f>
        <v>0</v>
      </c>
      <c r="C13" s="440">
        <f>SUM(C7:C12)</f>
        <v>0</v>
      </c>
      <c r="D13" s="440">
        <f>SUM(D7:D12)</f>
        <v>0</v>
      </c>
      <c r="E13" s="439">
        <f>SUM(E7:E12)</f>
        <v>9</v>
      </c>
      <c r="F13" s="440"/>
      <c r="G13" s="440">
        <f>SUM(G7:G12)</f>
        <v>9</v>
      </c>
      <c r="H13" s="439">
        <f>SUM(H7:H12)</f>
        <v>4</v>
      </c>
      <c r="I13" s="440"/>
      <c r="J13" s="440">
        <f>SUM(J7:J12)</f>
        <v>4</v>
      </c>
      <c r="K13" s="439">
        <f>SUM(K11:K12)</f>
        <v>12</v>
      </c>
      <c r="L13" s="440"/>
      <c r="M13" s="440">
        <f>SUM(M11:M12)</f>
        <v>12</v>
      </c>
      <c r="N13" s="441">
        <f t="shared" si="1"/>
        <v>25</v>
      </c>
      <c r="O13" s="442"/>
      <c r="P13" s="443">
        <f>G13+J13+M13+D13</f>
        <v>25</v>
      </c>
    </row>
    <row r="14" spans="1:16" ht="15">
      <c r="A14" s="154"/>
      <c r="B14" s="155"/>
      <c r="C14" s="156"/>
      <c r="D14" s="157"/>
      <c r="E14" s="155"/>
      <c r="F14" s="156"/>
      <c r="G14" s="147"/>
      <c r="H14" s="145"/>
      <c r="I14" s="146"/>
      <c r="J14" s="147"/>
      <c r="K14" s="145"/>
      <c r="L14" s="146"/>
      <c r="M14" s="147"/>
      <c r="N14" s="145"/>
      <c r="O14" s="146"/>
      <c r="P14" s="153">
        <f>G14+J14+M14</f>
        <v>0</v>
      </c>
    </row>
    <row r="15" spans="1:16" ht="27">
      <c r="A15" s="263" t="s">
        <v>294</v>
      </c>
      <c r="B15" s="150"/>
      <c r="C15" s="151"/>
      <c r="D15" s="152"/>
      <c r="E15" s="150"/>
      <c r="F15" s="151"/>
      <c r="G15" s="152"/>
      <c r="H15" s="150"/>
      <c r="I15" s="151"/>
      <c r="J15" s="152"/>
      <c r="K15" s="150"/>
      <c r="L15" s="151"/>
      <c r="M15" s="152"/>
      <c r="N15" s="145"/>
      <c r="O15" s="146"/>
      <c r="P15" s="153"/>
    </row>
    <row r="16" spans="1:16" ht="25.5">
      <c r="A16" s="144" t="s">
        <v>295</v>
      </c>
      <c r="B16" s="145">
        <v>15</v>
      </c>
      <c r="C16" s="151"/>
      <c r="D16" s="152">
        <v>15</v>
      </c>
      <c r="E16" s="150"/>
      <c r="F16" s="151"/>
      <c r="G16" s="152"/>
      <c r="H16" s="145"/>
      <c r="I16" s="151"/>
      <c r="J16" s="152"/>
      <c r="K16" s="150"/>
      <c r="L16" s="151"/>
      <c r="M16" s="152"/>
      <c r="N16" s="145">
        <f>B16+E16+H16+K16</f>
        <v>15</v>
      </c>
      <c r="O16" s="146"/>
      <c r="P16" s="153">
        <f>G16+J16+M16+D16</f>
        <v>15</v>
      </c>
    </row>
    <row r="17" spans="1:16" ht="25.5">
      <c r="A17" s="144" t="s">
        <v>296</v>
      </c>
      <c r="B17" s="145">
        <v>7</v>
      </c>
      <c r="C17" s="151"/>
      <c r="D17" s="152">
        <v>7</v>
      </c>
      <c r="E17" s="150"/>
      <c r="F17" s="151"/>
      <c r="G17" s="152"/>
      <c r="H17" s="145">
        <v>1</v>
      </c>
      <c r="I17" s="151"/>
      <c r="J17" s="152">
        <v>1</v>
      </c>
      <c r="K17" s="150"/>
      <c r="L17" s="151"/>
      <c r="M17" s="152"/>
      <c r="N17" s="145">
        <f aca="true" t="shared" si="3" ref="N17:N32">B17+E17+H17+K17</f>
        <v>8</v>
      </c>
      <c r="O17" s="146"/>
      <c r="P17" s="153">
        <f>D17+G17+J17+M17</f>
        <v>8</v>
      </c>
    </row>
    <row r="18" spans="1:16" ht="15">
      <c r="A18" s="158" t="s">
        <v>297</v>
      </c>
      <c r="B18" s="150"/>
      <c r="C18" s="151"/>
      <c r="D18" s="152"/>
      <c r="E18" s="145">
        <v>1</v>
      </c>
      <c r="F18" s="151"/>
      <c r="G18" s="152">
        <f>SUM(E18:F18)</f>
        <v>1</v>
      </c>
      <c r="H18" s="145">
        <v>1</v>
      </c>
      <c r="I18" s="151"/>
      <c r="J18" s="152">
        <f>SUM(H18:I18)</f>
        <v>1</v>
      </c>
      <c r="K18" s="150"/>
      <c r="L18" s="151"/>
      <c r="M18" s="152"/>
      <c r="N18" s="145">
        <f t="shared" si="3"/>
        <v>2</v>
      </c>
      <c r="O18" s="146"/>
      <c r="P18" s="153">
        <f t="shared" si="2"/>
        <v>2</v>
      </c>
    </row>
    <row r="19" spans="1:16" ht="15">
      <c r="A19" s="158" t="s">
        <v>298</v>
      </c>
      <c r="B19" s="150"/>
      <c r="C19" s="151"/>
      <c r="D19" s="152"/>
      <c r="E19" s="145">
        <v>1</v>
      </c>
      <c r="F19" s="151"/>
      <c r="G19" s="152">
        <v>1</v>
      </c>
      <c r="H19" s="145"/>
      <c r="I19" s="151"/>
      <c r="J19" s="152"/>
      <c r="K19" s="150"/>
      <c r="L19" s="151"/>
      <c r="M19" s="152"/>
      <c r="N19" s="145">
        <f t="shared" si="3"/>
        <v>1</v>
      </c>
      <c r="O19" s="146"/>
      <c r="P19" s="153">
        <f>D19+G19+J19+M19</f>
        <v>1</v>
      </c>
    </row>
    <row r="20" spans="1:16" ht="15">
      <c r="A20" s="158" t="s">
        <v>391</v>
      </c>
      <c r="B20" s="150">
        <v>1</v>
      </c>
      <c r="C20" s="151"/>
      <c r="D20" s="152">
        <v>1</v>
      </c>
      <c r="E20" s="145"/>
      <c r="F20" s="151"/>
      <c r="G20" s="152"/>
      <c r="H20" s="145"/>
      <c r="I20" s="151"/>
      <c r="J20" s="152"/>
      <c r="K20" s="150"/>
      <c r="L20" s="151"/>
      <c r="M20" s="152"/>
      <c r="N20" s="145">
        <f t="shared" si="3"/>
        <v>1</v>
      </c>
      <c r="O20" s="146"/>
      <c r="P20" s="153">
        <v>1</v>
      </c>
    </row>
    <row r="21" spans="1:16" ht="27">
      <c r="A21" s="438" t="s">
        <v>299</v>
      </c>
      <c r="B21" s="439">
        <f>B16+B17+B20</f>
        <v>23</v>
      </c>
      <c r="C21" s="440"/>
      <c r="D21" s="440">
        <f>B21</f>
        <v>23</v>
      </c>
      <c r="E21" s="439">
        <f>SUM(E18:E19)</f>
        <v>2</v>
      </c>
      <c r="F21" s="440"/>
      <c r="G21" s="440">
        <f>SUM(G16:G19)</f>
        <v>2</v>
      </c>
      <c r="H21" s="439">
        <f>SUM(H17:H19)</f>
        <v>2</v>
      </c>
      <c r="I21" s="440"/>
      <c r="J21" s="440">
        <f>SUM(J16:J19)</f>
        <v>2</v>
      </c>
      <c r="K21" s="439"/>
      <c r="L21" s="440"/>
      <c r="M21" s="440"/>
      <c r="N21" s="441">
        <f>B21+E21+H21+K21</f>
        <v>27</v>
      </c>
      <c r="O21" s="442"/>
      <c r="P21" s="443">
        <f>N21</f>
        <v>27</v>
      </c>
    </row>
    <row r="22" spans="1:16" ht="15">
      <c r="A22" s="144"/>
      <c r="B22" s="145"/>
      <c r="C22" s="146"/>
      <c r="D22" s="147"/>
      <c r="E22" s="145"/>
      <c r="F22" s="146"/>
      <c r="G22" s="147"/>
      <c r="H22" s="145"/>
      <c r="I22" s="146"/>
      <c r="J22" s="147"/>
      <c r="K22" s="145"/>
      <c r="L22" s="146"/>
      <c r="M22" s="147"/>
      <c r="N22" s="145">
        <f t="shared" si="3"/>
        <v>0</v>
      </c>
      <c r="O22" s="146"/>
      <c r="P22" s="153">
        <f t="shared" si="2"/>
        <v>0</v>
      </c>
    </row>
    <row r="23" spans="1:16" ht="27">
      <c r="A23" s="149" t="s">
        <v>300</v>
      </c>
      <c r="B23" s="150"/>
      <c r="C23" s="151"/>
      <c r="D23" s="152"/>
      <c r="E23" s="150"/>
      <c r="F23" s="151"/>
      <c r="G23" s="152"/>
      <c r="H23" s="150"/>
      <c r="I23" s="151"/>
      <c r="J23" s="152"/>
      <c r="K23" s="150"/>
      <c r="L23" s="151"/>
      <c r="M23" s="152"/>
      <c r="N23" s="145">
        <f t="shared" si="3"/>
        <v>0</v>
      </c>
      <c r="O23" s="146"/>
      <c r="P23" s="153">
        <f t="shared" si="2"/>
        <v>0</v>
      </c>
    </row>
    <row r="24" spans="1:16" ht="15">
      <c r="A24" s="264" t="s">
        <v>301</v>
      </c>
      <c r="B24" s="145"/>
      <c r="C24" s="146"/>
      <c r="D24" s="147">
        <f>SUM(B24:C24)</f>
        <v>0</v>
      </c>
      <c r="E24" s="145">
        <v>25</v>
      </c>
      <c r="F24" s="146"/>
      <c r="G24" s="152">
        <f>SUM(E24:F24)</f>
        <v>25</v>
      </c>
      <c r="H24" s="145"/>
      <c r="I24" s="146"/>
      <c r="J24" s="147"/>
      <c r="K24" s="145"/>
      <c r="L24" s="146"/>
      <c r="M24" s="147"/>
      <c r="N24" s="145">
        <f t="shared" si="3"/>
        <v>25</v>
      </c>
      <c r="O24" s="146"/>
      <c r="P24" s="153">
        <f t="shared" si="2"/>
        <v>25</v>
      </c>
    </row>
    <row r="25" spans="1:16" ht="15">
      <c r="A25" s="264" t="s">
        <v>302</v>
      </c>
      <c r="B25" s="145"/>
      <c r="C25" s="146"/>
      <c r="D25" s="147">
        <f>SUM(B25:C25)</f>
        <v>0</v>
      </c>
      <c r="E25" s="145">
        <v>11</v>
      </c>
      <c r="F25" s="146"/>
      <c r="G25" s="152">
        <f>SUM(E25:F25)</f>
        <v>11</v>
      </c>
      <c r="H25" s="145">
        <v>1</v>
      </c>
      <c r="I25" s="146"/>
      <c r="J25" s="152">
        <f>SUM(H25:I25)</f>
        <v>1</v>
      </c>
      <c r="K25" s="145"/>
      <c r="L25" s="146"/>
      <c r="M25" s="147"/>
      <c r="N25" s="145">
        <f t="shared" si="3"/>
        <v>12</v>
      </c>
      <c r="O25" s="146"/>
      <c r="P25" s="153">
        <f t="shared" si="2"/>
        <v>12</v>
      </c>
    </row>
    <row r="26" spans="1:16" ht="27">
      <c r="A26" s="438" t="s">
        <v>303</v>
      </c>
      <c r="B26" s="439">
        <f>SUM(B24:B25)</f>
        <v>0</v>
      </c>
      <c r="C26" s="440">
        <f>SUM(C24:C25)</f>
        <v>0</v>
      </c>
      <c r="D26" s="440">
        <f>SUM(D24:D25)</f>
        <v>0</v>
      </c>
      <c r="E26" s="439">
        <f>SUM(E24:E25)</f>
        <v>36</v>
      </c>
      <c r="F26" s="440"/>
      <c r="G26" s="440">
        <f>SUM(G24:G25)</f>
        <v>36</v>
      </c>
      <c r="H26" s="439">
        <f>SUM(H25)</f>
        <v>1</v>
      </c>
      <c r="I26" s="440"/>
      <c r="J26" s="440">
        <f>SUM(J25)</f>
        <v>1</v>
      </c>
      <c r="K26" s="439"/>
      <c r="L26" s="440"/>
      <c r="M26" s="440"/>
      <c r="N26" s="441">
        <f>B26+E26+H26+K26</f>
        <v>37</v>
      </c>
      <c r="O26" s="442"/>
      <c r="P26" s="443">
        <f t="shared" si="2"/>
        <v>37</v>
      </c>
    </row>
    <row r="27" spans="1:16" ht="15">
      <c r="A27" s="149"/>
      <c r="B27" s="150"/>
      <c r="C27" s="151"/>
      <c r="D27" s="152"/>
      <c r="E27" s="150"/>
      <c r="F27" s="151"/>
      <c r="G27" s="152"/>
      <c r="H27" s="150"/>
      <c r="I27" s="151"/>
      <c r="J27" s="152"/>
      <c r="K27" s="150"/>
      <c r="L27" s="151"/>
      <c r="M27" s="152"/>
      <c r="N27" s="145">
        <f t="shared" si="3"/>
        <v>0</v>
      </c>
      <c r="O27" s="146"/>
      <c r="P27" s="153">
        <f t="shared" si="2"/>
        <v>0</v>
      </c>
    </row>
    <row r="28" spans="1:16" ht="27">
      <c r="A28" s="149" t="s">
        <v>304</v>
      </c>
      <c r="B28" s="150"/>
      <c r="C28" s="151"/>
      <c r="D28" s="152"/>
      <c r="E28" s="150"/>
      <c r="F28" s="151"/>
      <c r="G28" s="152"/>
      <c r="H28" s="150"/>
      <c r="I28" s="151"/>
      <c r="J28" s="152"/>
      <c r="K28" s="150"/>
      <c r="L28" s="151"/>
      <c r="M28" s="152"/>
      <c r="N28" s="145">
        <f t="shared" si="3"/>
        <v>0</v>
      </c>
      <c r="O28" s="146"/>
      <c r="P28" s="153">
        <f t="shared" si="2"/>
        <v>0</v>
      </c>
    </row>
    <row r="29" spans="1:16" ht="15">
      <c r="A29" s="149" t="s">
        <v>392</v>
      </c>
      <c r="B29" s="150"/>
      <c r="C29" s="151"/>
      <c r="D29" s="152"/>
      <c r="E29" s="150"/>
      <c r="F29" s="151"/>
      <c r="G29" s="152"/>
      <c r="H29" s="145">
        <v>3</v>
      </c>
      <c r="I29" s="151"/>
      <c r="J29" s="152">
        <v>3</v>
      </c>
      <c r="K29" s="150"/>
      <c r="L29" s="151"/>
      <c r="M29" s="152"/>
      <c r="N29" s="145">
        <f t="shared" si="3"/>
        <v>3</v>
      </c>
      <c r="O29" s="146"/>
      <c r="P29" s="153">
        <f t="shared" si="2"/>
        <v>3</v>
      </c>
    </row>
    <row r="30" spans="1:16" ht="40.5">
      <c r="A30" s="438" t="s">
        <v>305</v>
      </c>
      <c r="B30" s="439"/>
      <c r="C30" s="440"/>
      <c r="D30" s="440"/>
      <c r="E30" s="439"/>
      <c r="F30" s="440"/>
      <c r="G30" s="440"/>
      <c r="H30" s="439">
        <f>SUM(H29)</f>
        <v>3</v>
      </c>
      <c r="I30" s="440"/>
      <c r="J30" s="440">
        <f>SUM(J29)</f>
        <v>3</v>
      </c>
      <c r="K30" s="439"/>
      <c r="L30" s="440"/>
      <c r="M30" s="440"/>
      <c r="N30" s="441">
        <f t="shared" si="3"/>
        <v>3</v>
      </c>
      <c r="O30" s="442"/>
      <c r="P30" s="443">
        <f t="shared" si="2"/>
        <v>3</v>
      </c>
    </row>
    <row r="31" spans="1:16" ht="15">
      <c r="A31" s="149"/>
      <c r="B31" s="150"/>
      <c r="C31" s="151"/>
      <c r="D31" s="152"/>
      <c r="E31" s="150"/>
      <c r="F31" s="151"/>
      <c r="G31" s="152"/>
      <c r="H31" s="150"/>
      <c r="I31" s="151"/>
      <c r="J31" s="152"/>
      <c r="K31" s="150"/>
      <c r="L31" s="151"/>
      <c r="M31" s="152"/>
      <c r="N31" s="145">
        <f t="shared" si="3"/>
        <v>0</v>
      </c>
      <c r="O31" s="146"/>
      <c r="P31" s="153">
        <f t="shared" si="2"/>
        <v>0</v>
      </c>
    </row>
    <row r="32" spans="1:16" ht="15.75" thickBot="1">
      <c r="A32" s="144"/>
      <c r="B32" s="145"/>
      <c r="C32" s="146"/>
      <c r="D32" s="147"/>
      <c r="E32" s="145"/>
      <c r="F32" s="146"/>
      <c r="G32" s="147"/>
      <c r="H32" s="145"/>
      <c r="I32" s="146"/>
      <c r="J32" s="147"/>
      <c r="K32" s="145"/>
      <c r="L32" s="146"/>
      <c r="M32" s="147"/>
      <c r="N32" s="145">
        <f t="shared" si="3"/>
        <v>0</v>
      </c>
      <c r="O32" s="146"/>
      <c r="P32" s="153">
        <f t="shared" si="2"/>
        <v>0</v>
      </c>
    </row>
    <row r="33" spans="1:16" ht="15.75" thickBot="1">
      <c r="A33" s="159" t="s">
        <v>253</v>
      </c>
      <c r="B33" s="160">
        <f>B21</f>
        <v>23</v>
      </c>
      <c r="C33" s="161">
        <f>C13+C15+C26</f>
        <v>0</v>
      </c>
      <c r="D33" s="161">
        <f>B33</f>
        <v>23</v>
      </c>
      <c r="E33" s="160">
        <f>E13+E21+E26+E30</f>
        <v>47</v>
      </c>
      <c r="F33" s="161">
        <f>F13+F15+F26</f>
        <v>0</v>
      </c>
      <c r="G33" s="161">
        <f>G13+G21+G26+G30</f>
        <v>47</v>
      </c>
      <c r="H33" s="160">
        <f>H13+H21+H26+H30</f>
        <v>10</v>
      </c>
      <c r="I33" s="161">
        <f>I13+I15+I26</f>
        <v>0</v>
      </c>
      <c r="J33" s="161">
        <f>J13+J21+J26+J30</f>
        <v>10</v>
      </c>
      <c r="K33" s="160">
        <f>K13+K21+K26+K30</f>
        <v>12</v>
      </c>
      <c r="L33" s="161">
        <f>L13+L15+L26</f>
        <v>0</v>
      </c>
      <c r="M33" s="161">
        <f>M13+M21+M26+M30</f>
        <v>12</v>
      </c>
      <c r="N33" s="160">
        <f>N30+N26+N21+N13</f>
        <v>92</v>
      </c>
      <c r="O33" s="161"/>
      <c r="P33" s="162">
        <f>N33</f>
        <v>92</v>
      </c>
    </row>
  </sheetData>
  <sheetProtection/>
  <mergeCells count="7">
    <mergeCell ref="A1:P1"/>
    <mergeCell ref="A3:A4"/>
    <mergeCell ref="B3:D3"/>
    <mergeCell ref="E3:G3"/>
    <mergeCell ref="H3:J3"/>
    <mergeCell ref="K3:M3"/>
    <mergeCell ref="N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6">
      <selection activeCell="H26" sqref="H26"/>
    </sheetView>
  </sheetViews>
  <sheetFormatPr defaultColWidth="9.140625" defaultRowHeight="15"/>
  <cols>
    <col min="1" max="1" width="46.00390625" style="0" bestFit="1" customWidth="1"/>
    <col min="3" max="6" width="15.57421875" style="0" bestFit="1" customWidth="1"/>
    <col min="8" max="8" width="12.00390625" style="0" bestFit="1" customWidth="1"/>
  </cols>
  <sheetData>
    <row r="1" spans="1:6" ht="15">
      <c r="A1" s="549" t="s">
        <v>315</v>
      </c>
      <c r="B1" s="549"/>
      <c r="C1" s="549"/>
      <c r="D1" s="549"/>
      <c r="E1" s="549"/>
      <c r="F1" s="549"/>
    </row>
    <row r="2" spans="1:5" ht="15.75">
      <c r="A2" s="119"/>
      <c r="B2" s="119"/>
      <c r="C2" s="163"/>
      <c r="D2" s="163"/>
      <c r="E2" s="130"/>
    </row>
    <row r="3" spans="1:5" ht="15.75">
      <c r="A3" s="640" t="s">
        <v>314</v>
      </c>
      <c r="B3" s="640"/>
      <c r="C3" s="640"/>
      <c r="D3" s="640"/>
      <c r="E3" s="130"/>
    </row>
    <row r="4" spans="1:5" ht="15.75">
      <c r="A4" s="119"/>
      <c r="B4" s="119"/>
      <c r="C4" s="163"/>
      <c r="D4" s="163"/>
      <c r="E4" s="130"/>
    </row>
    <row r="5" spans="1:5" ht="15.75">
      <c r="A5" s="646"/>
      <c r="B5" s="646"/>
      <c r="C5" s="646"/>
      <c r="D5" s="646"/>
      <c r="E5" s="130"/>
    </row>
    <row r="6" spans="1:5" ht="15.75">
      <c r="A6" s="647" t="s">
        <v>306</v>
      </c>
      <c r="B6" s="647"/>
      <c r="C6" s="647"/>
      <c r="D6" s="647"/>
      <c r="E6" s="130"/>
    </row>
    <row r="7" spans="1:6" ht="15.75">
      <c r="A7" s="165" t="s">
        <v>307</v>
      </c>
      <c r="B7" s="165"/>
      <c r="C7" s="166" t="s">
        <v>308</v>
      </c>
      <c r="D7" s="167" t="s">
        <v>309</v>
      </c>
      <c r="E7" s="168" t="s">
        <v>310</v>
      </c>
      <c r="F7" s="168" t="s">
        <v>313</v>
      </c>
    </row>
    <row r="8" spans="1:6" ht="15">
      <c r="A8" s="169" t="s">
        <v>268</v>
      </c>
      <c r="B8" s="169" t="s">
        <v>173</v>
      </c>
      <c r="C8" s="169">
        <f>Mérleg!C8</f>
        <v>550414486</v>
      </c>
      <c r="D8" s="170">
        <f aca="true" t="shared" si="0" ref="D8:F11">C8*1.01</f>
        <v>555918630.86</v>
      </c>
      <c r="E8" s="170">
        <f t="shared" si="0"/>
        <v>561477817.1686</v>
      </c>
      <c r="F8" s="170">
        <f t="shared" si="0"/>
        <v>567092595.340286</v>
      </c>
    </row>
    <row r="9" spans="1:6" ht="15">
      <c r="A9" s="169" t="s">
        <v>269</v>
      </c>
      <c r="B9" s="169" t="s">
        <v>187</v>
      </c>
      <c r="C9" s="169">
        <f>Mérleg!C9</f>
        <v>58600000</v>
      </c>
      <c r="D9" s="170">
        <f t="shared" si="0"/>
        <v>59186000</v>
      </c>
      <c r="E9" s="170">
        <f t="shared" si="0"/>
        <v>59777860</v>
      </c>
      <c r="F9" s="170">
        <f t="shared" si="0"/>
        <v>60375638.6</v>
      </c>
    </row>
    <row r="10" spans="1:6" ht="15">
      <c r="A10" s="169" t="s">
        <v>270</v>
      </c>
      <c r="B10" s="169" t="s">
        <v>201</v>
      </c>
      <c r="C10" s="169">
        <f>Mérleg!C10</f>
        <v>65396066.30000001</v>
      </c>
      <c r="D10" s="170">
        <f t="shared" si="0"/>
        <v>66050026.963000014</v>
      </c>
      <c r="E10" s="170">
        <f t="shared" si="0"/>
        <v>66710527.232630014</v>
      </c>
      <c r="F10" s="170">
        <f t="shared" si="0"/>
        <v>67377632.50495632</v>
      </c>
    </row>
    <row r="11" spans="1:6" ht="15">
      <c r="A11" s="169" t="s">
        <v>271</v>
      </c>
      <c r="B11" s="169" t="s">
        <v>209</v>
      </c>
      <c r="C11" s="169">
        <f>Mérleg!C11</f>
        <v>3687509</v>
      </c>
      <c r="D11" s="170">
        <f t="shared" si="0"/>
        <v>3724384.09</v>
      </c>
      <c r="E11" s="170">
        <f t="shared" si="0"/>
        <v>3761627.9309</v>
      </c>
      <c r="F11" s="170">
        <f t="shared" si="0"/>
        <v>3799244.210209</v>
      </c>
    </row>
    <row r="12" spans="1:6" ht="15">
      <c r="A12" s="171" t="s">
        <v>273</v>
      </c>
      <c r="B12" s="171"/>
      <c r="C12" s="172">
        <f>SUM(C8:C11)</f>
        <v>678098061.3</v>
      </c>
      <c r="D12" s="172">
        <f>SUM(D8:D11)</f>
        <v>684879041.9130001</v>
      </c>
      <c r="E12" s="172">
        <f>SUM(E8:E11)</f>
        <v>691727832.33213</v>
      </c>
      <c r="F12" s="172">
        <f>SUM(F8:F11)</f>
        <v>698645110.6554514</v>
      </c>
    </row>
    <row r="13" spans="1:6" ht="15">
      <c r="A13" s="169" t="s">
        <v>274</v>
      </c>
      <c r="B13" s="173" t="s">
        <v>177</v>
      </c>
      <c r="C13" s="169">
        <f>Mérleg!C13</f>
        <v>11328185</v>
      </c>
      <c r="D13" s="170">
        <v>0</v>
      </c>
      <c r="E13" s="170">
        <f>D13</f>
        <v>0</v>
      </c>
      <c r="F13" s="170">
        <f>E13</f>
        <v>0</v>
      </c>
    </row>
    <row r="14" spans="1:6" ht="15">
      <c r="A14" s="169" t="s">
        <v>204</v>
      </c>
      <c r="B14" s="173" t="s">
        <v>205</v>
      </c>
      <c r="C14" s="169">
        <f>Mérleg!C14</f>
        <v>5785000</v>
      </c>
      <c r="D14" s="170">
        <v>0</v>
      </c>
      <c r="E14" s="170">
        <v>0</v>
      </c>
      <c r="F14" s="170">
        <f>E14*1.01</f>
        <v>0</v>
      </c>
    </row>
    <row r="15" spans="1:6" ht="15">
      <c r="A15" s="169" t="s">
        <v>212</v>
      </c>
      <c r="B15" s="173" t="s">
        <v>213</v>
      </c>
      <c r="C15" s="169">
        <f>Mérleg!C15</f>
        <v>1000000</v>
      </c>
      <c r="D15" s="169">
        <v>1000000</v>
      </c>
      <c r="E15" s="169">
        <v>1000000</v>
      </c>
      <c r="F15" s="169">
        <v>1000000</v>
      </c>
    </row>
    <row r="16" spans="1:6" ht="15">
      <c r="A16" s="171" t="s">
        <v>275</v>
      </c>
      <c r="B16" s="174"/>
      <c r="C16" s="172">
        <f>SUM(C13:C15)</f>
        <v>18113185</v>
      </c>
      <c r="D16" s="172">
        <f>SUM(D13:D15)</f>
        <v>1000000</v>
      </c>
      <c r="E16" s="172">
        <f>SUM(E13:E15)</f>
        <v>1000000</v>
      </c>
      <c r="F16" s="172">
        <f>SUM(F13:F15)</f>
        <v>1000000</v>
      </c>
    </row>
    <row r="17" spans="1:6" ht="15">
      <c r="A17" s="173" t="s">
        <v>223</v>
      </c>
      <c r="B17" s="173" t="s">
        <v>224</v>
      </c>
      <c r="C17" s="175">
        <f>Mérleg!C17</f>
        <v>689446776.05</v>
      </c>
      <c r="D17" s="176">
        <f>C17*1.01</f>
        <v>696341243.8104999</v>
      </c>
      <c r="E17" s="176">
        <f>D17*1.01</f>
        <v>703304656.2486049</v>
      </c>
      <c r="F17" s="176">
        <f>E17*1.01</f>
        <v>710337702.811091</v>
      </c>
    </row>
    <row r="18" spans="1:6" ht="15">
      <c r="A18" s="177" t="s">
        <v>276</v>
      </c>
      <c r="B18" s="177"/>
      <c r="C18" s="178">
        <f>C12+C16+C17</f>
        <v>1385658022.35</v>
      </c>
      <c r="D18" s="179">
        <f>D12+D16+D17</f>
        <v>1382220285.7235</v>
      </c>
      <c r="E18" s="180">
        <f>E12+E16+E17</f>
        <v>1396032488.5807347</v>
      </c>
      <c r="F18" s="180">
        <f>F12+F16+F17</f>
        <v>1409982813.4665422</v>
      </c>
    </row>
    <row r="19" spans="1:6" ht="15.75">
      <c r="A19" s="165" t="s">
        <v>311</v>
      </c>
      <c r="B19" s="165"/>
      <c r="C19" s="166" t="s">
        <v>308</v>
      </c>
      <c r="D19" s="167" t="s">
        <v>309</v>
      </c>
      <c r="E19" s="168" t="s">
        <v>310</v>
      </c>
      <c r="F19" s="195" t="s">
        <v>313</v>
      </c>
    </row>
    <row r="20" spans="1:6" ht="15">
      <c r="A20" s="181" t="s">
        <v>48</v>
      </c>
      <c r="B20" s="181" t="s">
        <v>49</v>
      </c>
      <c r="C20" s="182">
        <f>Mérleg!G8</f>
        <v>406407845.5</v>
      </c>
      <c r="D20" s="182">
        <f>C20*1.1</f>
        <v>447048630.05</v>
      </c>
      <c r="E20" s="182">
        <f>D20*1.1</f>
        <v>491753493.05500007</v>
      </c>
      <c r="F20" s="182">
        <f>E20*1.1</f>
        <v>540928842.3605001</v>
      </c>
    </row>
    <row r="21" spans="1:6" ht="15">
      <c r="A21" s="183" t="s">
        <v>312</v>
      </c>
      <c r="B21" s="183" t="s">
        <v>52</v>
      </c>
      <c r="C21" s="123">
        <f>Mérleg!G9</f>
        <v>52662465.050000004</v>
      </c>
      <c r="D21" s="123">
        <f>D20*0.155</f>
        <v>69292537.65775</v>
      </c>
      <c r="E21" s="123">
        <f>E20*0.155</f>
        <v>76221791.423525</v>
      </c>
      <c r="F21" s="170">
        <v>75381115</v>
      </c>
    </row>
    <row r="22" spans="1:6" ht="15">
      <c r="A22" s="183" t="s">
        <v>90</v>
      </c>
      <c r="B22" s="183" t="s">
        <v>91</v>
      </c>
      <c r="C22" s="123">
        <f>Mérleg!G10</f>
        <v>215029319.2</v>
      </c>
      <c r="D22" s="123">
        <f>C22*1.01</f>
        <v>217179612.392</v>
      </c>
      <c r="E22" s="123">
        <f>D22*1.01</f>
        <v>219351408.51591998</v>
      </c>
      <c r="F22" s="170">
        <f>E22*1.01</f>
        <v>221544922.6010792</v>
      </c>
    </row>
    <row r="23" spans="1:6" ht="15">
      <c r="A23" s="183" t="s">
        <v>99</v>
      </c>
      <c r="B23" s="183" t="s">
        <v>100</v>
      </c>
      <c r="C23" s="123">
        <f>Mérleg!G11</f>
        <v>12000000</v>
      </c>
      <c r="D23" s="123">
        <v>14000000</v>
      </c>
      <c r="E23" s="123">
        <v>15000000</v>
      </c>
      <c r="F23" s="170">
        <f>E23*1.01</f>
        <v>15150000</v>
      </c>
    </row>
    <row r="24" spans="1:6" ht="15">
      <c r="A24" s="123" t="s">
        <v>111</v>
      </c>
      <c r="B24" s="183" t="s">
        <v>112</v>
      </c>
      <c r="C24" s="123">
        <f>Mérleg!G12</f>
        <v>115880575</v>
      </c>
      <c r="D24" s="123">
        <v>50000000</v>
      </c>
      <c r="E24" s="123">
        <v>50000000</v>
      </c>
      <c r="F24" s="170">
        <f>E24*1.01</f>
        <v>50500000</v>
      </c>
    </row>
    <row r="25" spans="1:6" ht="15">
      <c r="A25" s="184" t="s">
        <v>273</v>
      </c>
      <c r="B25" s="185"/>
      <c r="C25" s="186">
        <f>SUM(C20:C24)</f>
        <v>801980204.75</v>
      </c>
      <c r="D25" s="187">
        <f>SUM(D20:D24)</f>
        <v>797520780.09975</v>
      </c>
      <c r="E25" s="187">
        <f>SUM(E20:E24)</f>
        <v>852326692.9944451</v>
      </c>
      <c r="F25" s="187">
        <f>SUM(F20:F24)</f>
        <v>903504879.9615793</v>
      </c>
    </row>
    <row r="26" spans="1:6" ht="15">
      <c r="A26" s="123" t="s">
        <v>123</v>
      </c>
      <c r="B26" s="183" t="s">
        <v>124</v>
      </c>
      <c r="C26" s="188">
        <f>Mérleg!G14</f>
        <v>150667253.87401575</v>
      </c>
      <c r="D26" s="188">
        <v>90049739</v>
      </c>
      <c r="E26" s="188">
        <v>45360104</v>
      </c>
      <c r="F26" s="170">
        <v>2750388</v>
      </c>
    </row>
    <row r="27" spans="1:6" ht="15">
      <c r="A27" s="183" t="s">
        <v>132</v>
      </c>
      <c r="B27" s="183" t="s">
        <v>133</v>
      </c>
      <c r="C27" s="123">
        <f>Mérleg!G15</f>
        <v>16486164.467142858</v>
      </c>
      <c r="D27" s="123">
        <v>28300000</v>
      </c>
      <c r="E27" s="123">
        <v>28300000</v>
      </c>
      <c r="F27" s="123">
        <v>28300000</v>
      </c>
    </row>
    <row r="28" spans="1:6" ht="15">
      <c r="A28" s="123" t="s">
        <v>138</v>
      </c>
      <c r="B28" s="189" t="s">
        <v>139</v>
      </c>
      <c r="C28" s="123">
        <f>Mérleg!G16</f>
        <v>6000000</v>
      </c>
      <c r="D28" s="190">
        <v>0</v>
      </c>
      <c r="E28" s="132">
        <v>0</v>
      </c>
      <c r="F28" s="170">
        <f>E28*1.01</f>
        <v>0</v>
      </c>
    </row>
    <row r="29" spans="1:6" ht="15">
      <c r="A29" s="184" t="s">
        <v>275</v>
      </c>
      <c r="B29" s="185"/>
      <c r="C29" s="186">
        <f>SUM(C26:C28)</f>
        <v>173153418.3411586</v>
      </c>
      <c r="D29" s="186">
        <f>SUM(D26:D28)</f>
        <v>118349739</v>
      </c>
      <c r="E29" s="186">
        <f>SUM(E26:E28)</f>
        <v>73660104</v>
      </c>
      <c r="F29" s="186">
        <f>SUM(F26:F28)</f>
        <v>31050388</v>
      </c>
    </row>
    <row r="30" spans="1:6" ht="15">
      <c r="A30" s="123" t="s">
        <v>151</v>
      </c>
      <c r="B30" s="191" t="s">
        <v>152</v>
      </c>
      <c r="C30" s="132">
        <f>Mérleg!G18</f>
        <v>410524399.05</v>
      </c>
      <c r="D30" s="192">
        <f>C30*1.01</f>
        <v>414629643.04050004</v>
      </c>
      <c r="E30" s="132">
        <f>D30*1.01</f>
        <v>418775939.47090507</v>
      </c>
      <c r="F30" s="170">
        <f>E30*1.01</f>
        <v>422963698.8656141</v>
      </c>
    </row>
    <row r="31" spans="1:6" ht="15">
      <c r="A31" s="193" t="s">
        <v>277</v>
      </c>
      <c r="B31" s="194"/>
      <c r="C31" s="193">
        <f>C25+C29+C30</f>
        <v>1385658022.1411586</v>
      </c>
      <c r="D31" s="193">
        <f>D25+D29+D30</f>
        <v>1330500162.1402502</v>
      </c>
      <c r="E31" s="193">
        <f>E25+E29+E30</f>
        <v>1344762736.4653502</v>
      </c>
      <c r="F31" s="193">
        <f>F25+F29+F30</f>
        <v>1357518966.8271935</v>
      </c>
    </row>
  </sheetData>
  <sheetProtection/>
  <mergeCells count="4">
    <mergeCell ref="A3:D3"/>
    <mergeCell ref="A5:D5"/>
    <mergeCell ref="A6:D6"/>
    <mergeCell ref="A1:F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selection activeCell="O18" sqref="O18"/>
    </sheetView>
  </sheetViews>
  <sheetFormatPr defaultColWidth="9.140625" defaultRowHeight="15"/>
  <sheetData>
    <row r="1" spans="1:11" ht="15">
      <c r="A1" s="549" t="s">
        <v>316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ht="15.75">
      <c r="B2" s="196"/>
    </row>
    <row r="3" ht="15.75">
      <c r="B3" s="196"/>
    </row>
    <row r="4" ht="15.75">
      <c r="B4" s="197"/>
    </row>
    <row r="5" spans="2:11" ht="15">
      <c r="B5" s="640" t="s">
        <v>317</v>
      </c>
      <c r="C5" s="648"/>
      <c r="D5" s="648"/>
      <c r="E5" s="648"/>
      <c r="F5" s="648"/>
      <c r="G5" s="648"/>
      <c r="H5" s="648"/>
      <c r="I5" s="648"/>
      <c r="J5" s="648"/>
      <c r="K5" s="648"/>
    </row>
    <row r="6" ht="15.75">
      <c r="B6" s="197"/>
    </row>
    <row r="7" spans="2:12" ht="15">
      <c r="B7" s="649" t="s">
        <v>404</v>
      </c>
      <c r="C7" s="650"/>
      <c r="D7" s="650"/>
      <c r="E7" s="650"/>
      <c r="F7" s="650"/>
      <c r="G7" s="650"/>
      <c r="H7" s="650"/>
      <c r="I7" s="650"/>
      <c r="J7" s="650"/>
      <c r="L7" t="s">
        <v>402</v>
      </c>
    </row>
    <row r="8" spans="2:10" ht="15">
      <c r="B8" s="650"/>
      <c r="C8" s="650"/>
      <c r="D8" s="650"/>
      <c r="E8" s="650"/>
      <c r="F8" s="650"/>
      <c r="G8" s="650"/>
      <c r="H8" s="650"/>
      <c r="I8" s="650"/>
      <c r="J8" s="650"/>
    </row>
    <row r="9" spans="2:10" ht="15">
      <c r="B9" s="651"/>
      <c r="C9" s="651"/>
      <c r="D9" s="651"/>
      <c r="E9" s="651"/>
      <c r="F9" s="651"/>
      <c r="G9" s="651"/>
      <c r="H9" s="651"/>
      <c r="I9" s="651"/>
      <c r="J9" s="651"/>
    </row>
    <row r="10" spans="2:10" ht="15">
      <c r="B10" s="198"/>
      <c r="C10" s="198"/>
      <c r="D10" s="198"/>
      <c r="E10" s="198"/>
      <c r="F10" s="198"/>
      <c r="G10" s="198"/>
      <c r="H10" s="198"/>
      <c r="I10" s="198"/>
      <c r="J10" s="198"/>
    </row>
    <row r="11" spans="2:10" ht="15">
      <c r="B11" s="652" t="s">
        <v>405</v>
      </c>
      <c r="C11" s="652"/>
      <c r="D11" s="652"/>
      <c r="E11" s="652"/>
      <c r="F11" s="652"/>
      <c r="G11" s="652"/>
      <c r="H11" s="652"/>
      <c r="I11" s="652"/>
      <c r="J11" s="652"/>
    </row>
  </sheetData>
  <sheetProtection/>
  <mergeCells count="5">
    <mergeCell ref="A1:K1"/>
    <mergeCell ref="B5:K5"/>
    <mergeCell ref="B7:J8"/>
    <mergeCell ref="B9:J9"/>
    <mergeCell ref="B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9.140625" style="327" customWidth="1"/>
    <col min="2" max="2" width="33.00390625" style="327" bestFit="1" customWidth="1"/>
    <col min="3" max="3" width="14.421875" style="327" bestFit="1" customWidth="1"/>
    <col min="4" max="4" width="12.7109375" style="327" bestFit="1" customWidth="1"/>
    <col min="5" max="11" width="11.8515625" style="327" bestFit="1" customWidth="1"/>
    <col min="12" max="16384" width="9.140625" style="327" customWidth="1"/>
  </cols>
  <sheetData>
    <row r="1" spans="1:6" ht="15">
      <c r="A1" s="549" t="s">
        <v>349</v>
      </c>
      <c r="B1" s="549"/>
      <c r="C1" s="549"/>
      <c r="D1" s="549"/>
      <c r="E1" s="549"/>
      <c r="F1" s="549"/>
    </row>
    <row r="3" spans="1:5" ht="15.75">
      <c r="A3" s="653"/>
      <c r="B3" s="653"/>
      <c r="C3" s="653"/>
      <c r="D3" s="653"/>
      <c r="E3" s="653"/>
    </row>
    <row r="4" spans="1:5" ht="15">
      <c r="A4" s="654" t="s">
        <v>318</v>
      </c>
      <c r="B4" s="654"/>
      <c r="C4" s="654"/>
      <c r="D4" s="654"/>
      <c r="E4" s="654"/>
    </row>
    <row r="5" spans="1:5" ht="15">
      <c r="A5" s="655" t="s">
        <v>319</v>
      </c>
      <c r="B5" s="655"/>
      <c r="C5" s="655"/>
      <c r="D5" s="655"/>
      <c r="E5" s="655"/>
    </row>
    <row r="8" spans="1:11" ht="28.5">
      <c r="A8" s="199" t="s">
        <v>320</v>
      </c>
      <c r="B8" s="200" t="s">
        <v>321</v>
      </c>
      <c r="C8" s="201" t="s">
        <v>322</v>
      </c>
      <c r="D8" s="200">
        <v>2022</v>
      </c>
      <c r="E8" s="200">
        <v>2023</v>
      </c>
      <c r="F8" s="444">
        <v>2024</v>
      </c>
      <c r="G8" s="447">
        <v>2025</v>
      </c>
      <c r="H8" s="447">
        <v>2026</v>
      </c>
      <c r="I8" s="447">
        <v>2027</v>
      </c>
      <c r="J8" s="447">
        <v>2028</v>
      </c>
      <c r="K8" s="447">
        <v>2029</v>
      </c>
    </row>
    <row r="9" spans="1:11" ht="15">
      <c r="A9" s="202">
        <v>1</v>
      </c>
      <c r="B9" s="9" t="s">
        <v>323</v>
      </c>
      <c r="C9" s="203" t="s">
        <v>324</v>
      </c>
      <c r="D9" s="204">
        <v>17040000</v>
      </c>
      <c r="E9" s="204">
        <v>17040000</v>
      </c>
      <c r="F9" s="445">
        <v>17040000</v>
      </c>
      <c r="G9" s="445">
        <v>17040000</v>
      </c>
      <c r="H9" s="445">
        <v>17040000</v>
      </c>
      <c r="I9" s="445">
        <v>17040000</v>
      </c>
      <c r="J9" s="445">
        <v>17040000</v>
      </c>
      <c r="K9" s="204">
        <v>17040000</v>
      </c>
    </row>
    <row r="10" spans="1:11" ht="15">
      <c r="A10" s="202">
        <v>2</v>
      </c>
      <c r="B10" s="9" t="s">
        <v>325</v>
      </c>
      <c r="C10" s="9" t="s">
        <v>326</v>
      </c>
      <c r="D10" s="316">
        <v>2000000</v>
      </c>
      <c r="E10" s="316">
        <v>990600</v>
      </c>
      <c r="F10" s="446">
        <v>990600</v>
      </c>
      <c r="G10" s="446">
        <v>990600</v>
      </c>
      <c r="H10" s="446">
        <v>990600</v>
      </c>
      <c r="I10" s="62"/>
      <c r="J10" s="62"/>
      <c r="K10" s="62"/>
    </row>
    <row r="11" spans="1:11" ht="15">
      <c r="A11" s="62">
        <v>3</v>
      </c>
      <c r="B11" s="9" t="s">
        <v>327</v>
      </c>
      <c r="C11" s="9" t="s">
        <v>328</v>
      </c>
      <c r="D11" s="204">
        <v>304800</v>
      </c>
      <c r="E11" s="204"/>
      <c r="G11" s="62"/>
      <c r="H11" s="62"/>
      <c r="I11" s="62"/>
      <c r="J11" s="62"/>
      <c r="K11" s="62"/>
    </row>
    <row r="12" spans="1:11" ht="15">
      <c r="A12" s="202">
        <v>4</v>
      </c>
      <c r="B12" s="9" t="s">
        <v>329</v>
      </c>
      <c r="C12" s="9" t="s">
        <v>330</v>
      </c>
      <c r="D12" s="204">
        <v>12700000</v>
      </c>
      <c r="E12" s="204">
        <v>12700000</v>
      </c>
      <c r="F12" s="445">
        <v>12700000</v>
      </c>
      <c r="G12" s="445">
        <v>12700000</v>
      </c>
      <c r="H12" s="62"/>
      <c r="I12" s="62"/>
      <c r="J12" s="62"/>
      <c r="K12" s="62"/>
    </row>
  </sheetData>
  <sheetProtection/>
  <mergeCells count="4">
    <mergeCell ref="A3:E3"/>
    <mergeCell ref="A4:E4"/>
    <mergeCell ref="A5:E5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0">
      <pane xSplit="1" topLeftCell="F1" activePane="topRight" state="frozen"/>
      <selection pane="topLeft" activeCell="A4" sqref="A4"/>
      <selection pane="topRight" activeCell="O22" sqref="O22"/>
    </sheetView>
  </sheetViews>
  <sheetFormatPr defaultColWidth="9.140625" defaultRowHeight="15"/>
  <cols>
    <col min="1" max="1" width="31.8515625" style="326" bestFit="1" customWidth="1"/>
    <col min="2" max="13" width="14.140625" style="326" bestFit="1" customWidth="1"/>
    <col min="14" max="14" width="15.57421875" style="326" bestFit="1" customWidth="1"/>
    <col min="15" max="15" width="14.57421875" style="326" bestFit="1" customWidth="1"/>
    <col min="16" max="17" width="13.57421875" style="326" bestFit="1" customWidth="1"/>
    <col min="18" max="18" width="12.00390625" style="326" bestFit="1" customWidth="1"/>
    <col min="19" max="16384" width="9.140625" style="326" customWidth="1"/>
  </cols>
  <sheetData>
    <row r="1" spans="1:14" ht="15">
      <c r="A1" s="549" t="s">
        <v>383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 ht="15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205"/>
    </row>
    <row r="3" spans="1:14" ht="15.75">
      <c r="A3" s="639" t="s">
        <v>418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</row>
    <row r="4" spans="1:14" ht="15.75">
      <c r="A4" s="646"/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</row>
    <row r="5" spans="1:14" ht="15.75">
      <c r="A5" s="119"/>
      <c r="B5" s="119"/>
      <c r="C5" s="119"/>
      <c r="D5" s="119"/>
      <c r="E5" s="119"/>
      <c r="F5" s="119"/>
      <c r="G5" s="119"/>
      <c r="H5" s="119"/>
      <c r="I5" s="163"/>
      <c r="J5" s="119"/>
      <c r="K5" s="119"/>
      <c r="L5" s="119"/>
      <c r="M5" s="119"/>
      <c r="N5" s="205"/>
    </row>
    <row r="6" spans="1:14" ht="15">
      <c r="A6" s="206" t="s">
        <v>242</v>
      </c>
      <c r="B6" s="206" t="s">
        <v>331</v>
      </c>
      <c r="C6" s="206" t="s">
        <v>332</v>
      </c>
      <c r="D6" s="206" t="s">
        <v>333</v>
      </c>
      <c r="E6" s="206" t="s">
        <v>334</v>
      </c>
      <c r="F6" s="206" t="s">
        <v>335</v>
      </c>
      <c r="G6" s="206" t="s">
        <v>336</v>
      </c>
      <c r="H6" s="206" t="s">
        <v>337</v>
      </c>
      <c r="I6" s="206" t="s">
        <v>338</v>
      </c>
      <c r="J6" s="206" t="s">
        <v>339</v>
      </c>
      <c r="K6" s="206" t="s">
        <v>340</v>
      </c>
      <c r="L6" s="206" t="s">
        <v>341</v>
      </c>
      <c r="M6" s="206" t="s">
        <v>342</v>
      </c>
      <c r="N6" s="207" t="s">
        <v>250</v>
      </c>
    </row>
    <row r="7" spans="1:14" ht="15">
      <c r="A7" s="657" t="s">
        <v>343</v>
      </c>
      <c r="B7" s="658"/>
      <c r="C7" s="658"/>
      <c r="D7" s="658"/>
      <c r="E7" s="658"/>
      <c r="F7" s="658"/>
      <c r="G7" s="658"/>
      <c r="H7" s="658"/>
      <c r="I7" s="658"/>
      <c r="J7" s="658"/>
      <c r="K7" s="658"/>
      <c r="L7" s="658"/>
      <c r="M7" s="658"/>
      <c r="N7" s="658"/>
    </row>
    <row r="8" spans="1:16" ht="26.25">
      <c r="A8" s="208" t="s">
        <v>268</v>
      </c>
      <c r="B8" s="209">
        <f>N8/12</f>
        <v>45867873.833333336</v>
      </c>
      <c r="C8" s="209">
        <v>44352053</v>
      </c>
      <c r="D8" s="209">
        <v>44352053</v>
      </c>
      <c r="E8" s="209">
        <v>44352053</v>
      </c>
      <c r="F8" s="209">
        <v>44352053</v>
      </c>
      <c r="G8" s="209">
        <f>44352053+7500000</f>
        <v>51852053</v>
      </c>
      <c r="H8" s="209">
        <v>44352053</v>
      </c>
      <c r="I8" s="209">
        <v>44352053</v>
      </c>
      <c r="J8" s="209">
        <v>44352053</v>
      </c>
      <c r="K8" s="209">
        <v>44352053</v>
      </c>
      <c r="L8" s="209">
        <f>44352053+7500000</f>
        <v>51852053</v>
      </c>
      <c r="M8" s="209">
        <v>44352053</v>
      </c>
      <c r="N8" s="210">
        <f>'bev.össz'!G15</f>
        <v>550414486</v>
      </c>
      <c r="O8" s="225"/>
      <c r="P8" s="225"/>
    </row>
    <row r="9" spans="1:14" ht="15">
      <c r="A9" s="211" t="s">
        <v>269</v>
      </c>
      <c r="B9" s="212"/>
      <c r="C9" s="213"/>
      <c r="D9" s="213">
        <f>N9/4</f>
        <v>14650000</v>
      </c>
      <c r="E9" s="213">
        <v>14625000</v>
      </c>
      <c r="F9" s="213"/>
      <c r="G9" s="213"/>
      <c r="H9" s="213"/>
      <c r="I9" s="213"/>
      <c r="J9" s="213">
        <v>14625000</v>
      </c>
      <c r="K9" s="213">
        <v>14625000</v>
      </c>
      <c r="L9" s="213"/>
      <c r="M9" s="213"/>
      <c r="N9" s="214">
        <f>'bev.össz'!G22</f>
        <v>58600000</v>
      </c>
    </row>
    <row r="10" spans="1:15" ht="15">
      <c r="A10" s="211" t="s">
        <v>270</v>
      </c>
      <c r="B10" s="215">
        <f>N10/12</f>
        <v>5449672.191666667</v>
      </c>
      <c r="C10" s="215">
        <v>5374220</v>
      </c>
      <c r="D10" s="215">
        <v>5374220</v>
      </c>
      <c r="E10" s="215">
        <v>5374220</v>
      </c>
      <c r="F10" s="215">
        <v>5374220</v>
      </c>
      <c r="G10" s="215">
        <v>5374220</v>
      </c>
      <c r="H10" s="215">
        <v>5374220</v>
      </c>
      <c r="I10" s="215">
        <v>5374220</v>
      </c>
      <c r="J10" s="215">
        <v>5374220</v>
      </c>
      <c r="K10" s="215">
        <v>5374220</v>
      </c>
      <c r="L10" s="215">
        <v>5374220</v>
      </c>
      <c r="M10" s="215">
        <v>5374220</v>
      </c>
      <c r="N10" s="214">
        <f>'bev.össz'!G29</f>
        <v>65396066.30000001</v>
      </c>
      <c r="O10" s="225"/>
    </row>
    <row r="11" spans="1:14" ht="15">
      <c r="A11" s="216" t="s">
        <v>271</v>
      </c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8">
        <v>3687509</v>
      </c>
      <c r="M11" s="218"/>
      <c r="N11" s="214">
        <f>'bev.össz'!G33</f>
        <v>3687509</v>
      </c>
    </row>
    <row r="12" spans="1:14" ht="26.25">
      <c r="A12" s="208" t="s">
        <v>274</v>
      </c>
      <c r="B12" s="217"/>
      <c r="C12" s="218"/>
      <c r="D12" s="218"/>
      <c r="E12" s="218"/>
      <c r="F12" s="218"/>
      <c r="G12" s="218">
        <f>N12</f>
        <v>11328185</v>
      </c>
      <c r="H12" s="218"/>
      <c r="I12" s="218"/>
      <c r="J12" s="218"/>
      <c r="K12" s="218"/>
      <c r="L12" s="218"/>
      <c r="M12" s="218"/>
      <c r="N12" s="210">
        <f>'bev.össz'!G17</f>
        <v>11328185</v>
      </c>
    </row>
    <row r="13" spans="1:14" ht="15">
      <c r="A13" s="219" t="s">
        <v>204</v>
      </c>
      <c r="B13" s="217"/>
      <c r="C13" s="218">
        <v>3102000</v>
      </c>
      <c r="D13" s="218"/>
      <c r="E13" s="226"/>
      <c r="F13" s="218"/>
      <c r="G13" s="218"/>
      <c r="H13" s="218"/>
      <c r="I13" s="226"/>
      <c r="J13" s="218"/>
      <c r="K13" s="218"/>
      <c r="L13" s="218"/>
      <c r="M13" s="218"/>
      <c r="N13" s="210">
        <f>'bev.össz'!G31</f>
        <v>5785000</v>
      </c>
    </row>
    <row r="14" spans="1:14" ht="15">
      <c r="A14" s="130" t="s">
        <v>212</v>
      </c>
      <c r="B14" s="217"/>
      <c r="C14" s="218"/>
      <c r="D14" s="218"/>
      <c r="E14" s="218">
        <v>200000</v>
      </c>
      <c r="F14" s="218"/>
      <c r="G14" s="218">
        <v>200000</v>
      </c>
      <c r="H14" s="218"/>
      <c r="I14" s="218">
        <v>200000</v>
      </c>
      <c r="J14" s="218"/>
      <c r="K14" s="218">
        <v>200000</v>
      </c>
      <c r="L14" s="218"/>
      <c r="M14" s="218">
        <v>200000</v>
      </c>
      <c r="N14" s="210">
        <f>'bev.össz'!G35</f>
        <v>1000000</v>
      </c>
    </row>
    <row r="15" spans="1:17" ht="15">
      <c r="A15" s="130" t="s">
        <v>403</v>
      </c>
      <c r="B15" s="217">
        <f>'bev.össz'!G41</f>
        <v>296019368</v>
      </c>
      <c r="C15" s="218">
        <f>'bev.össz'!G43/11</f>
        <v>35766128.00454546</v>
      </c>
      <c r="D15" s="218">
        <v>35272756</v>
      </c>
      <c r="E15" s="218">
        <v>35272756</v>
      </c>
      <c r="F15" s="218">
        <v>35272756</v>
      </c>
      <c r="G15" s="218">
        <v>35272756</v>
      </c>
      <c r="H15" s="218">
        <v>35272756</v>
      </c>
      <c r="I15" s="218">
        <v>35272756</v>
      </c>
      <c r="J15" s="218">
        <v>35272756</v>
      </c>
      <c r="K15" s="218">
        <v>35272756</v>
      </c>
      <c r="L15" s="218">
        <v>35272756</v>
      </c>
      <c r="M15" s="218">
        <v>35272756</v>
      </c>
      <c r="N15" s="210">
        <f>'bev.össz'!G44</f>
        <v>689446776.05</v>
      </c>
      <c r="O15" s="225"/>
      <c r="P15" s="56"/>
      <c r="Q15" s="56"/>
    </row>
    <row r="16" spans="1:18" ht="15">
      <c r="A16" s="220" t="s">
        <v>344</v>
      </c>
      <c r="B16" s="221">
        <f>SUM(B8:B15)</f>
        <v>347336914.025</v>
      </c>
      <c r="C16" s="221">
        <f>SUM(C8:C15)</f>
        <v>88594401.00454545</v>
      </c>
      <c r="D16" s="221">
        <f>SUM(D8:D15)</f>
        <v>99649029</v>
      </c>
      <c r="E16" s="221">
        <f aca="true" t="shared" si="0" ref="E16:M16">SUM(E8:E15)</f>
        <v>99824029</v>
      </c>
      <c r="F16" s="221">
        <f t="shared" si="0"/>
        <v>84999029</v>
      </c>
      <c r="G16" s="221">
        <f t="shared" si="0"/>
        <v>104027214</v>
      </c>
      <c r="H16" s="221">
        <f t="shared" si="0"/>
        <v>84999029</v>
      </c>
      <c r="I16" s="221">
        <f t="shared" si="0"/>
        <v>85199029</v>
      </c>
      <c r="J16" s="221">
        <f t="shared" si="0"/>
        <v>99624029</v>
      </c>
      <c r="K16" s="221">
        <f t="shared" si="0"/>
        <v>99824029</v>
      </c>
      <c r="L16" s="221">
        <f t="shared" si="0"/>
        <v>96186538</v>
      </c>
      <c r="M16" s="221">
        <f t="shared" si="0"/>
        <v>85199029</v>
      </c>
      <c r="N16" s="210">
        <f>SUM(N8:N15)</f>
        <v>1385658022.35</v>
      </c>
      <c r="P16" s="328"/>
      <c r="Q16" s="328"/>
      <c r="R16" s="328"/>
    </row>
    <row r="17" spans="1:14" ht="15">
      <c r="A17" s="659"/>
      <c r="B17" s="659"/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</row>
    <row r="18" spans="1:17" ht="15">
      <c r="A18" s="656" t="s">
        <v>345</v>
      </c>
      <c r="B18" s="656"/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Q18" s="225"/>
    </row>
    <row r="19" spans="1:15" ht="15">
      <c r="A19" s="222" t="s">
        <v>346</v>
      </c>
      <c r="B19" s="222">
        <f>N19/12</f>
        <v>68256432.97916667</v>
      </c>
      <c r="C19" s="222">
        <v>61775944</v>
      </c>
      <c r="D19" s="222">
        <v>61775944</v>
      </c>
      <c r="E19" s="222">
        <v>61775944</v>
      </c>
      <c r="F19" s="222">
        <v>61775944</v>
      </c>
      <c r="G19" s="222">
        <v>61775944</v>
      </c>
      <c r="H19" s="222">
        <v>61775944</v>
      </c>
      <c r="I19" s="222">
        <v>61775944</v>
      </c>
      <c r="J19" s="222">
        <v>61775944</v>
      </c>
      <c r="K19" s="222">
        <v>61775944</v>
      </c>
      <c r="L19" s="222">
        <v>61775944</v>
      </c>
      <c r="M19" s="222">
        <v>61775944</v>
      </c>
      <c r="N19" s="210">
        <f>'kiadás össz.'!G19+'kiadás össz.'!G20+'kiadás össz.'!G34+'kiadás össz.'!G37+'kiadás össz.'!G41+'kiadás össz.'!G57</f>
        <v>819077195.75</v>
      </c>
      <c r="O19" s="56"/>
    </row>
    <row r="20" spans="1:15" ht="15">
      <c r="A20" s="222" t="s">
        <v>347</v>
      </c>
      <c r="B20" s="222">
        <f>N20/12</f>
        <v>14429451.528429883</v>
      </c>
      <c r="C20" s="222">
        <v>11917211</v>
      </c>
      <c r="D20" s="222">
        <v>11917211</v>
      </c>
      <c r="E20" s="222">
        <v>11917211</v>
      </c>
      <c r="F20" s="222">
        <v>11917211</v>
      </c>
      <c r="G20" s="222">
        <v>11917211</v>
      </c>
      <c r="H20" s="222">
        <v>11917211</v>
      </c>
      <c r="I20" s="222">
        <v>11917211</v>
      </c>
      <c r="J20" s="222">
        <v>11917211</v>
      </c>
      <c r="K20" s="222">
        <v>11917211</v>
      </c>
      <c r="L20" s="222">
        <v>11917211</v>
      </c>
      <c r="M20" s="222">
        <v>11917211</v>
      </c>
      <c r="N20" s="210">
        <f>'kiadás össz.'!G46+'kiadás össz.'!G49+'kiadás össz.'!G51</f>
        <v>173153418.3411586</v>
      </c>
      <c r="O20" s="56"/>
    </row>
    <row r="21" spans="1:14" ht="15">
      <c r="A21" s="222" t="s">
        <v>151</v>
      </c>
      <c r="B21" s="222">
        <f>N21/12</f>
        <v>32785617.337500002</v>
      </c>
      <c r="C21" s="222">
        <v>32333359</v>
      </c>
      <c r="D21" s="222">
        <v>32333359</v>
      </c>
      <c r="E21" s="222">
        <v>32333359</v>
      </c>
      <c r="F21" s="222">
        <v>32333359</v>
      </c>
      <c r="G21" s="222">
        <v>32333359</v>
      </c>
      <c r="H21" s="222">
        <v>32333359</v>
      </c>
      <c r="I21" s="222">
        <v>32333359</v>
      </c>
      <c r="J21" s="222">
        <v>32333359</v>
      </c>
      <c r="K21" s="222">
        <v>32333359</v>
      </c>
      <c r="L21" s="222">
        <v>32333359</v>
      </c>
      <c r="M21" s="222">
        <v>32333359</v>
      </c>
      <c r="N21" s="210">
        <f>'kiadás össz.'!G58</f>
        <v>393427408.05</v>
      </c>
    </row>
    <row r="22" spans="1:15" ht="15">
      <c r="A22" s="220" t="s">
        <v>348</v>
      </c>
      <c r="B22" s="220">
        <f>SUM(B19:B21)</f>
        <v>115471501.84509656</v>
      </c>
      <c r="C22" s="220">
        <f aca="true" t="shared" si="1" ref="C22:M22">SUM(C19:C21)</f>
        <v>106026514</v>
      </c>
      <c r="D22" s="220">
        <f t="shared" si="1"/>
        <v>106026514</v>
      </c>
      <c r="E22" s="220">
        <f t="shared" si="1"/>
        <v>106026514</v>
      </c>
      <c r="F22" s="220">
        <f t="shared" si="1"/>
        <v>106026514</v>
      </c>
      <c r="G22" s="220">
        <f t="shared" si="1"/>
        <v>106026514</v>
      </c>
      <c r="H22" s="220">
        <f t="shared" si="1"/>
        <v>106026514</v>
      </c>
      <c r="I22" s="220">
        <f t="shared" si="1"/>
        <v>106026514</v>
      </c>
      <c r="J22" s="220">
        <f t="shared" si="1"/>
        <v>106026514</v>
      </c>
      <c r="K22" s="220">
        <f t="shared" si="1"/>
        <v>106026514</v>
      </c>
      <c r="L22" s="220">
        <f t="shared" si="1"/>
        <v>106026514</v>
      </c>
      <c r="M22" s="220">
        <f t="shared" si="1"/>
        <v>106026514</v>
      </c>
      <c r="N22" s="210">
        <f>SUM(N19:N21)</f>
        <v>1385658022.1411586</v>
      </c>
      <c r="O22" s="225"/>
    </row>
    <row r="23" spans="1:14" ht="15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4"/>
    </row>
  </sheetData>
  <sheetProtection/>
  <mergeCells count="6">
    <mergeCell ref="A18:N18"/>
    <mergeCell ref="A1:N1"/>
    <mergeCell ref="A3:N3"/>
    <mergeCell ref="A4:N4"/>
    <mergeCell ref="A7:N7"/>
    <mergeCell ref="A17:N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43">
      <selection activeCell="L49" sqref="L49"/>
    </sheetView>
  </sheetViews>
  <sheetFormatPr defaultColWidth="9.140625" defaultRowHeight="15"/>
  <cols>
    <col min="2" max="2" width="38.00390625" style="0" customWidth="1"/>
    <col min="6" max="6" width="9.00390625" style="0" customWidth="1"/>
    <col min="7" max="7" width="15.8515625" style="0" customWidth="1"/>
    <col min="8" max="8" width="12.28125" style="0" bestFit="1" customWidth="1"/>
    <col min="9" max="9" width="10.8515625" style="0" bestFit="1" customWidth="1"/>
    <col min="10" max="10" width="6.28125" style="0" bestFit="1" customWidth="1"/>
    <col min="11" max="11" width="13.140625" style="0" bestFit="1" customWidth="1"/>
    <col min="12" max="12" width="10.8515625" style="0" bestFit="1" customWidth="1"/>
    <col min="14" max="14" width="12.8515625" style="0" bestFit="1" customWidth="1"/>
  </cols>
  <sheetData>
    <row r="1" spans="1:10" ht="15">
      <c r="A1" s="549" t="s">
        <v>384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5">
      <c r="A3" s="572" t="s">
        <v>1</v>
      </c>
      <c r="B3" s="572"/>
      <c r="C3" s="572"/>
      <c r="D3" s="572"/>
      <c r="E3" s="572"/>
      <c r="F3" s="572"/>
      <c r="G3" s="572"/>
      <c r="H3" s="572"/>
      <c r="I3" s="3"/>
      <c r="J3" s="3"/>
    </row>
    <row r="4" spans="1:10" ht="15">
      <c r="A4" s="573" t="s">
        <v>420</v>
      </c>
      <c r="B4" s="574"/>
      <c r="C4" s="574"/>
      <c r="D4" s="574"/>
      <c r="E4" s="574"/>
      <c r="F4" s="574"/>
      <c r="G4" s="574"/>
      <c r="H4" s="574"/>
      <c r="I4" s="3"/>
      <c r="J4" s="3"/>
    </row>
    <row r="5" spans="1:10" ht="15">
      <c r="A5" s="537" t="s">
        <v>3</v>
      </c>
      <c r="B5" s="538" t="s">
        <v>4</v>
      </c>
      <c r="C5" s="539" t="s">
        <v>5</v>
      </c>
      <c r="D5" s="539"/>
      <c r="E5" s="539"/>
      <c r="F5" s="539"/>
      <c r="G5" s="546" t="s">
        <v>6</v>
      </c>
      <c r="H5" s="553" t="s">
        <v>7</v>
      </c>
      <c r="I5" s="554"/>
      <c r="J5" s="555"/>
    </row>
    <row r="6" spans="1:10" ht="25.5">
      <c r="A6" s="537"/>
      <c r="B6" s="538"/>
      <c r="C6" s="539"/>
      <c r="D6" s="539"/>
      <c r="E6" s="539"/>
      <c r="F6" s="539"/>
      <c r="G6" s="546"/>
      <c r="H6" s="4" t="s">
        <v>8</v>
      </c>
      <c r="I6" s="4" t="s">
        <v>9</v>
      </c>
      <c r="J6" s="4" t="s">
        <v>10</v>
      </c>
    </row>
    <row r="7" spans="1:12" ht="15">
      <c r="A7" s="5" t="s">
        <v>11</v>
      </c>
      <c r="B7" s="6" t="s">
        <v>12</v>
      </c>
      <c r="C7" s="568" t="s">
        <v>13</v>
      </c>
      <c r="D7" s="568"/>
      <c r="E7" s="568"/>
      <c r="F7" s="568"/>
      <c r="G7" s="8">
        <f>' Önkorm A'!G7+'Hiv. kiadás'!G7+'Óvoda kiad.'!G7+'Könyvtár kiad'!G7</f>
        <v>338649724</v>
      </c>
      <c r="H7" s="8">
        <f>G7</f>
        <v>338649724</v>
      </c>
      <c r="I7" s="9"/>
      <c r="J7" s="9"/>
      <c r="L7" s="56"/>
    </row>
    <row r="8" spans="1:12" ht="15">
      <c r="A8" s="5" t="s">
        <v>14</v>
      </c>
      <c r="B8" s="6" t="s">
        <v>15</v>
      </c>
      <c r="C8" s="569" t="s">
        <v>16</v>
      </c>
      <c r="D8" s="570"/>
      <c r="E8" s="570"/>
      <c r="F8" s="571"/>
      <c r="G8" s="8">
        <f>' Önkorm A'!G8+'Hiv. kiadás'!G8+'Óvoda kiad.'!G8+'Könyvtár kiad'!G8</f>
        <v>13003000</v>
      </c>
      <c r="H8" s="8">
        <f aca="true" t="shared" si="0" ref="H8:H17">G8</f>
        <v>13003000</v>
      </c>
      <c r="I8" s="9"/>
      <c r="J8" s="9"/>
      <c r="L8" s="56"/>
    </row>
    <row r="9" spans="1:12" ht="25.5">
      <c r="A9" s="5" t="s">
        <v>17</v>
      </c>
      <c r="B9" s="6" t="s">
        <v>18</v>
      </c>
      <c r="C9" s="569" t="s">
        <v>19</v>
      </c>
      <c r="D9" s="570"/>
      <c r="E9" s="570"/>
      <c r="F9" s="571"/>
      <c r="G9" s="8">
        <f>' Önkorm A'!G9+'Hiv. kiadás'!G9+'Óvoda kiad.'!G9+'Könyvtár kiad'!G9</f>
        <v>407500</v>
      </c>
      <c r="H9" s="8">
        <f t="shared" si="0"/>
        <v>407500</v>
      </c>
      <c r="I9" s="9"/>
      <c r="J9" s="9"/>
      <c r="L9" s="56"/>
    </row>
    <row r="10" spans="1:12" ht="15">
      <c r="A10" s="5" t="s">
        <v>20</v>
      </c>
      <c r="B10" s="6" t="s">
        <v>21</v>
      </c>
      <c r="C10" s="569" t="s">
        <v>22</v>
      </c>
      <c r="D10" s="570"/>
      <c r="E10" s="570"/>
      <c r="F10" s="571"/>
      <c r="G10" s="8">
        <f>' Önkorm A'!G10+'Hiv. kiadás'!G10+'Óvoda kiad.'!G10+'Könyvtár kiad'!G10</f>
        <v>9440358</v>
      </c>
      <c r="H10" s="8">
        <f t="shared" si="0"/>
        <v>9440358</v>
      </c>
      <c r="I10" s="9"/>
      <c r="J10" s="9"/>
      <c r="L10" s="56"/>
    </row>
    <row r="11" spans="1:12" ht="15">
      <c r="A11" s="5" t="s">
        <v>23</v>
      </c>
      <c r="B11" s="10" t="s">
        <v>24</v>
      </c>
      <c r="C11" s="568" t="s">
        <v>25</v>
      </c>
      <c r="D11" s="568"/>
      <c r="E11" s="568"/>
      <c r="F11" s="568"/>
      <c r="G11" s="8">
        <f>' Önkorm A'!G11+'Hiv. kiadás'!G11+'Óvoda kiad.'!G11+'Könyvtár kiad'!G11</f>
        <v>11559603</v>
      </c>
      <c r="H11" s="8">
        <f t="shared" si="0"/>
        <v>11559603</v>
      </c>
      <c r="I11" s="9"/>
      <c r="J11" s="9"/>
      <c r="L11" s="56"/>
    </row>
    <row r="12" spans="1:12" ht="15">
      <c r="A12" s="5" t="s">
        <v>26</v>
      </c>
      <c r="B12" s="10" t="s">
        <v>27</v>
      </c>
      <c r="C12" s="569" t="s">
        <v>28</v>
      </c>
      <c r="D12" s="570"/>
      <c r="E12" s="570"/>
      <c r="F12" s="571"/>
      <c r="G12" s="8">
        <f>' Önkorm A'!G12+'Hiv. kiadás'!G12+'Óvoda kiad.'!G12+'Könyvtár kiad'!G12</f>
        <v>0</v>
      </c>
      <c r="H12" s="8">
        <f t="shared" si="0"/>
        <v>0</v>
      </c>
      <c r="I12" s="9"/>
      <c r="J12" s="9"/>
      <c r="L12" s="56"/>
    </row>
    <row r="13" spans="1:12" ht="15">
      <c r="A13" s="5" t="s">
        <v>29</v>
      </c>
      <c r="B13" s="10" t="s">
        <v>30</v>
      </c>
      <c r="C13" s="568" t="s">
        <v>31</v>
      </c>
      <c r="D13" s="568"/>
      <c r="E13" s="568"/>
      <c r="F13" s="568"/>
      <c r="G13" s="8">
        <f>' Önkorm A'!G13+'Hiv. kiadás'!G13+'Óvoda kiad.'!G13+'Könyvtár kiad'!G13</f>
        <v>3000100</v>
      </c>
      <c r="H13" s="8">
        <f t="shared" si="0"/>
        <v>3000100</v>
      </c>
      <c r="I13" s="9"/>
      <c r="J13" s="9"/>
      <c r="L13" s="56"/>
    </row>
    <row r="14" spans="1:12" ht="15">
      <c r="A14" s="5" t="s">
        <v>32</v>
      </c>
      <c r="B14" s="10" t="s">
        <v>33</v>
      </c>
      <c r="C14" s="569" t="s">
        <v>34</v>
      </c>
      <c r="D14" s="570"/>
      <c r="E14" s="570"/>
      <c r="F14" s="571"/>
      <c r="G14" s="8">
        <f>' Önkorm A'!G14+'Hiv. kiadás'!G14+'Óvoda kiad.'!G14+'Könyvtár kiad'!G14</f>
        <v>0</v>
      </c>
      <c r="H14" s="8">
        <f t="shared" si="0"/>
        <v>0</v>
      </c>
      <c r="I14" s="9"/>
      <c r="J14" s="9"/>
      <c r="L14" s="56"/>
    </row>
    <row r="15" spans="1:12" ht="15">
      <c r="A15" s="5" t="s">
        <v>35</v>
      </c>
      <c r="B15" s="10" t="s">
        <v>36</v>
      </c>
      <c r="C15" s="569" t="s">
        <v>37</v>
      </c>
      <c r="D15" s="570"/>
      <c r="E15" s="570"/>
      <c r="F15" s="571"/>
      <c r="G15" s="8">
        <f>' Önkorm A'!G15+'Hiv. kiadás'!G15+'Óvoda kiad.'!G15+'Könyvtár kiad'!G15</f>
        <v>1036000</v>
      </c>
      <c r="H15" s="8">
        <f t="shared" si="0"/>
        <v>1036000</v>
      </c>
      <c r="I15" s="9"/>
      <c r="J15" s="9"/>
      <c r="L15" s="56"/>
    </row>
    <row r="16" spans="1:12" ht="15">
      <c r="A16" s="5" t="s">
        <v>38</v>
      </c>
      <c r="B16" s="10" t="s">
        <v>39</v>
      </c>
      <c r="C16" s="568" t="s">
        <v>40</v>
      </c>
      <c r="D16" s="568"/>
      <c r="E16" s="568"/>
      <c r="F16" s="568"/>
      <c r="G16" s="8">
        <f>' Önkorm A'!G16+'Hiv. kiadás'!G16+'Óvoda kiad.'!G16+'Könyvtár kiad'!G16</f>
        <v>23378060.5</v>
      </c>
      <c r="H16" s="8">
        <f t="shared" si="0"/>
        <v>23378060.5</v>
      </c>
      <c r="I16" s="9"/>
      <c r="J16" s="9"/>
      <c r="L16" s="56"/>
    </row>
    <row r="17" spans="1:12" ht="25.5">
      <c r="A17" s="5" t="s">
        <v>41</v>
      </c>
      <c r="B17" s="10" t="s">
        <v>42</v>
      </c>
      <c r="C17" s="568" t="s">
        <v>43</v>
      </c>
      <c r="D17" s="568"/>
      <c r="E17" s="568"/>
      <c r="F17" s="568"/>
      <c r="G17" s="8">
        <f>' Önkorm A'!G17+'Hiv. kiadás'!G17+'Óvoda kiad.'!G17+'Könyvtár kiad'!G17</f>
        <v>5473500</v>
      </c>
      <c r="H17" s="8">
        <f t="shared" si="0"/>
        <v>5473500</v>
      </c>
      <c r="I17" s="12"/>
      <c r="J17" s="12"/>
      <c r="L17" s="56"/>
    </row>
    <row r="18" spans="1:12" ht="15">
      <c r="A18" s="5" t="s">
        <v>44</v>
      </c>
      <c r="B18" s="10" t="s">
        <v>45</v>
      </c>
      <c r="C18" s="543" t="s">
        <v>46</v>
      </c>
      <c r="D18" s="543"/>
      <c r="E18" s="543"/>
      <c r="F18" s="543"/>
      <c r="G18" s="8">
        <f>' Önkorm A'!G18+'Hiv. kiadás'!G18+'Óvoda kiad.'!G18+'Könyvtár kiad'!G18</f>
        <v>460000</v>
      </c>
      <c r="H18" s="8">
        <f>G18</f>
        <v>460000</v>
      </c>
      <c r="I18" s="9"/>
      <c r="J18" s="9"/>
      <c r="L18" s="56"/>
    </row>
    <row r="19" spans="1:12" ht="15">
      <c r="A19" s="13" t="s">
        <v>47</v>
      </c>
      <c r="B19" s="14" t="s">
        <v>48</v>
      </c>
      <c r="C19" s="535" t="s">
        <v>49</v>
      </c>
      <c r="D19" s="535"/>
      <c r="E19" s="535"/>
      <c r="F19" s="535"/>
      <c r="G19" s="15">
        <f>SUM(G7:G18)</f>
        <v>406407845.5</v>
      </c>
      <c r="H19" s="15">
        <f>SUM(H7:H18)</f>
        <v>406407845.5</v>
      </c>
      <c r="I19" s="16"/>
      <c r="J19" s="17"/>
      <c r="K19" s="56"/>
      <c r="L19" s="56"/>
    </row>
    <row r="20" spans="1:12" ht="25.5">
      <c r="A20" s="13" t="s">
        <v>50</v>
      </c>
      <c r="B20" s="14" t="s">
        <v>51</v>
      </c>
      <c r="C20" s="535" t="s">
        <v>52</v>
      </c>
      <c r="D20" s="535"/>
      <c r="E20" s="535"/>
      <c r="F20" s="535"/>
      <c r="G20" s="18">
        <f>' Önkorm A'!G20+'Hiv. kiadás'!G20+'Óvoda kiad.'!G20+'Könyvtár kiad'!G20</f>
        <v>52662465.050000004</v>
      </c>
      <c r="H20" s="18">
        <f>G20</f>
        <v>52662465.050000004</v>
      </c>
      <c r="I20" s="17"/>
      <c r="J20" s="17"/>
      <c r="K20" s="56"/>
      <c r="L20" s="56"/>
    </row>
    <row r="21" spans="1:12" ht="15">
      <c r="A21" s="5" t="s">
        <v>53</v>
      </c>
      <c r="B21" s="10" t="s">
        <v>54</v>
      </c>
      <c r="C21" s="543" t="s">
        <v>55</v>
      </c>
      <c r="D21" s="543"/>
      <c r="E21" s="543"/>
      <c r="F21" s="543"/>
      <c r="G21" s="8">
        <f>' Önkorm A'!G21+'Hiv. kiadás'!G21+'Könyvtár kiad'!G21+'Óvoda kiad.'!G21</f>
        <v>2270000</v>
      </c>
      <c r="H21" s="8">
        <f>G21</f>
        <v>2270000</v>
      </c>
      <c r="I21" s="9"/>
      <c r="J21" s="9"/>
      <c r="K21" s="56"/>
      <c r="L21" s="56"/>
    </row>
    <row r="22" spans="1:12" ht="15">
      <c r="A22" s="5" t="s">
        <v>56</v>
      </c>
      <c r="B22" s="10" t="s">
        <v>57</v>
      </c>
      <c r="C22" s="540" t="s">
        <v>58</v>
      </c>
      <c r="D22" s="541"/>
      <c r="E22" s="541"/>
      <c r="F22" s="542"/>
      <c r="G22" s="8">
        <f>' Önkorm A'!G22+'Hiv. kiadás'!G22+'Könyvtár kiad'!G22+'Óvoda kiad.'!G22</f>
        <v>76716929.13385826</v>
      </c>
      <c r="H22" s="8">
        <f aca="true" t="shared" si="1" ref="H22:H33">G22</f>
        <v>76716929.13385826</v>
      </c>
      <c r="I22" s="9"/>
      <c r="J22" s="9"/>
      <c r="K22" s="56"/>
      <c r="L22" s="56"/>
    </row>
    <row r="23" spans="1:12" ht="15">
      <c r="A23" s="5" t="s">
        <v>59</v>
      </c>
      <c r="B23" s="10" t="s">
        <v>60</v>
      </c>
      <c r="C23" s="543" t="s">
        <v>61</v>
      </c>
      <c r="D23" s="543"/>
      <c r="E23" s="543"/>
      <c r="F23" s="543"/>
      <c r="G23" s="8">
        <f>' Önkorm A'!G23+'Hiv. kiadás'!G23+'Könyvtár kiad'!G23+'Óvoda kiad.'!G23</f>
        <v>1988500</v>
      </c>
      <c r="H23" s="8">
        <f t="shared" si="1"/>
        <v>1988500</v>
      </c>
      <c r="I23" s="9"/>
      <c r="J23" s="9"/>
      <c r="K23" s="56"/>
      <c r="L23" s="56"/>
    </row>
    <row r="24" spans="1:12" ht="15">
      <c r="A24" s="5" t="s">
        <v>62</v>
      </c>
      <c r="B24" s="10" t="s">
        <v>63</v>
      </c>
      <c r="C24" s="543" t="s">
        <v>64</v>
      </c>
      <c r="D24" s="543"/>
      <c r="E24" s="543"/>
      <c r="F24" s="543"/>
      <c r="G24" s="8">
        <f>' Önkorm A'!G24+'Hiv. kiadás'!G24+'Könyvtár kiad'!G24+'Óvoda kiad.'!G24</f>
        <v>2180000</v>
      </c>
      <c r="H24" s="8">
        <f t="shared" si="1"/>
        <v>2180000</v>
      </c>
      <c r="I24" s="9"/>
      <c r="J24" s="9"/>
      <c r="K24" s="56"/>
      <c r="L24" s="56"/>
    </row>
    <row r="25" spans="1:12" ht="15">
      <c r="A25" s="5" t="s">
        <v>65</v>
      </c>
      <c r="B25" s="19" t="s">
        <v>66</v>
      </c>
      <c r="C25" s="543" t="s">
        <v>67</v>
      </c>
      <c r="D25" s="543"/>
      <c r="E25" s="543"/>
      <c r="F25" s="543"/>
      <c r="G25" s="8">
        <f>' Önkorm A'!G25+'Hiv. kiadás'!G25+'Könyvtár kiad'!G25+'Óvoda kiad.'!G25</f>
        <v>25700000</v>
      </c>
      <c r="H25" s="8">
        <f t="shared" si="1"/>
        <v>25700000</v>
      </c>
      <c r="I25" s="9"/>
      <c r="J25" s="9"/>
      <c r="K25" s="56"/>
      <c r="L25" s="56"/>
    </row>
    <row r="26" spans="1:12" ht="15">
      <c r="A26" s="5" t="s">
        <v>68</v>
      </c>
      <c r="B26" s="19" t="s">
        <v>69</v>
      </c>
      <c r="C26" s="543" t="s">
        <v>70</v>
      </c>
      <c r="D26" s="543"/>
      <c r="E26" s="543"/>
      <c r="F26" s="543"/>
      <c r="G26" s="8">
        <f>' Önkorm A'!G26+'Hiv. kiadás'!G26+'Könyvtár kiad'!G26+'Óvoda kiad.'!G26</f>
        <v>1900000</v>
      </c>
      <c r="H26" s="8">
        <f t="shared" si="1"/>
        <v>1900000</v>
      </c>
      <c r="I26" s="9"/>
      <c r="J26" s="9"/>
      <c r="K26" s="56"/>
      <c r="L26" s="56"/>
    </row>
    <row r="27" spans="1:12" ht="15">
      <c r="A27" s="5" t="s">
        <v>71</v>
      </c>
      <c r="B27" s="19" t="s">
        <v>72</v>
      </c>
      <c r="C27" s="540" t="s">
        <v>73</v>
      </c>
      <c r="D27" s="541"/>
      <c r="E27" s="541"/>
      <c r="F27" s="542"/>
      <c r="G27" s="8">
        <f>' Önkorm A'!G27+'Hiv. kiadás'!G27+'Könyvtár kiad'!G27+'Óvoda kiad.'!G27</f>
        <v>1200000</v>
      </c>
      <c r="H27" s="8">
        <f t="shared" si="1"/>
        <v>1200000</v>
      </c>
      <c r="I27" s="9"/>
      <c r="J27" s="9"/>
      <c r="K27" s="56"/>
      <c r="L27" s="56"/>
    </row>
    <row r="28" spans="1:12" ht="15">
      <c r="A28" s="5" t="s">
        <v>74</v>
      </c>
      <c r="B28" s="19" t="s">
        <v>75</v>
      </c>
      <c r="C28" s="543" t="s">
        <v>76</v>
      </c>
      <c r="D28" s="543"/>
      <c r="E28" s="543"/>
      <c r="F28" s="543"/>
      <c r="G28" s="8">
        <f>' Önkorm A'!G28+'Hiv. kiadás'!G28+'Könyvtár kiad'!G28+'Óvoda kiad.'!G28</f>
        <v>30985000</v>
      </c>
      <c r="H28" s="8">
        <f t="shared" si="1"/>
        <v>30985000</v>
      </c>
      <c r="I28" s="9"/>
      <c r="J28" s="9"/>
      <c r="K28" s="56"/>
      <c r="L28" s="56"/>
    </row>
    <row r="29" spans="1:12" ht="15">
      <c r="A29" s="5" t="s">
        <v>77</v>
      </c>
      <c r="B29" s="19" t="s">
        <v>78</v>
      </c>
      <c r="C29" s="543" t="s">
        <v>79</v>
      </c>
      <c r="D29" s="543"/>
      <c r="E29" s="543"/>
      <c r="F29" s="543"/>
      <c r="G29" s="8">
        <f>' Önkorm A'!G29+'Hiv. kiadás'!G29+'Könyvtár kiad'!G29+'Óvoda kiad.'!G29</f>
        <v>32561760</v>
      </c>
      <c r="H29" s="8">
        <f t="shared" si="1"/>
        <v>32561760</v>
      </c>
      <c r="I29" s="9"/>
      <c r="J29" s="9"/>
      <c r="K29" s="56"/>
      <c r="L29" s="56"/>
    </row>
    <row r="30" spans="1:12" ht="15">
      <c r="A30" s="5" t="s">
        <v>80</v>
      </c>
      <c r="B30" s="19" t="s">
        <v>81</v>
      </c>
      <c r="C30" s="540" t="s">
        <v>82</v>
      </c>
      <c r="D30" s="541"/>
      <c r="E30" s="541"/>
      <c r="F30" s="542"/>
      <c r="G30" s="8">
        <f>' Önkorm A'!G30+'Hiv. kiadás'!G30+'Könyvtár kiad'!G30+'Óvoda kiad.'!G30</f>
        <v>296539</v>
      </c>
      <c r="H30" s="8">
        <f t="shared" si="1"/>
        <v>296539</v>
      </c>
      <c r="I30" s="9"/>
      <c r="J30" s="9"/>
      <c r="K30" s="56"/>
      <c r="L30" s="56"/>
    </row>
    <row r="31" spans="1:12" ht="25.5">
      <c r="A31" s="5" t="s">
        <v>83</v>
      </c>
      <c r="B31" s="19" t="s">
        <v>84</v>
      </c>
      <c r="C31" s="543" t="s">
        <v>85</v>
      </c>
      <c r="D31" s="543"/>
      <c r="E31" s="543"/>
      <c r="F31" s="543"/>
      <c r="G31" s="8">
        <f>' Önkorm A'!G31+'Hiv. kiadás'!G31+'Könyvtár kiad'!G31+'Óvoda kiad.'!G31</f>
        <v>37103591.06614173</v>
      </c>
      <c r="H31" s="8">
        <f t="shared" si="1"/>
        <v>37103591.06614173</v>
      </c>
      <c r="I31" s="9"/>
      <c r="J31" s="9"/>
      <c r="K31" s="56"/>
      <c r="L31" s="56"/>
    </row>
    <row r="32" spans="1:12" s="436" customFormat="1" ht="15">
      <c r="A32" s="450">
        <v>26</v>
      </c>
      <c r="B32" s="449" t="s">
        <v>438</v>
      </c>
      <c r="C32" s="540" t="s">
        <v>437</v>
      </c>
      <c r="D32" s="541"/>
      <c r="E32" s="541"/>
      <c r="F32" s="542"/>
      <c r="G32" s="8">
        <f>' Önkorm A'!G32</f>
        <v>100000</v>
      </c>
      <c r="H32" s="8">
        <f>G32</f>
        <v>100000</v>
      </c>
      <c r="I32" s="9"/>
      <c r="J32" s="9"/>
      <c r="K32" s="56"/>
      <c r="L32" s="56"/>
    </row>
    <row r="33" spans="1:12" ht="15">
      <c r="A33" s="5" t="s">
        <v>89</v>
      </c>
      <c r="B33" s="21" t="s">
        <v>87</v>
      </c>
      <c r="C33" s="543" t="s">
        <v>88</v>
      </c>
      <c r="D33" s="543"/>
      <c r="E33" s="543"/>
      <c r="F33" s="543"/>
      <c r="G33" s="8">
        <f>' Önkorm A'!G33+'Hiv. kiadás'!G32+'Könyvtár kiad'!G32+'Óvoda kiad.'!G32</f>
        <v>2027000</v>
      </c>
      <c r="H33" s="8">
        <f t="shared" si="1"/>
        <v>2027000</v>
      </c>
      <c r="I33" s="9"/>
      <c r="J33" s="9"/>
      <c r="K33" s="56"/>
      <c r="L33" s="56"/>
    </row>
    <row r="34" spans="1:12" ht="15">
      <c r="A34" s="13" t="s">
        <v>92</v>
      </c>
      <c r="B34" s="14" t="s">
        <v>90</v>
      </c>
      <c r="C34" s="535" t="s">
        <v>91</v>
      </c>
      <c r="D34" s="535"/>
      <c r="E34" s="535"/>
      <c r="F34" s="535"/>
      <c r="G34" s="18">
        <f>SUM(G21:G33)</f>
        <v>215029319.2</v>
      </c>
      <c r="H34" s="18">
        <f>SUM(H21:H33)</f>
        <v>215029319.2</v>
      </c>
      <c r="I34" s="18">
        <f>SUM(I21:I33)</f>
        <v>0</v>
      </c>
      <c r="J34" s="18">
        <f>SUM(J21:J33)</f>
        <v>0</v>
      </c>
      <c r="K34" s="56"/>
      <c r="L34" s="56"/>
    </row>
    <row r="35" spans="1:12" ht="15">
      <c r="A35" s="5" t="s">
        <v>95</v>
      </c>
      <c r="B35" s="10" t="s">
        <v>93</v>
      </c>
      <c r="C35" s="540" t="s">
        <v>94</v>
      </c>
      <c r="D35" s="541"/>
      <c r="E35" s="541"/>
      <c r="F35" s="542"/>
      <c r="G35" s="11">
        <f>' Önkorm A'!G35+'Hiv. kiadás'!G34+'Óvoda kiad.'!G34+'Könyvtár kiad'!G34</f>
        <v>0</v>
      </c>
      <c r="H35" s="11"/>
      <c r="I35" s="9"/>
      <c r="J35" s="9"/>
      <c r="K35" s="56"/>
      <c r="L35" s="56"/>
    </row>
    <row r="36" spans="1:12" ht="22.5" customHeight="1">
      <c r="A36" s="5" t="s">
        <v>98</v>
      </c>
      <c r="B36" s="10" t="s">
        <v>96</v>
      </c>
      <c r="C36" s="540" t="s">
        <v>97</v>
      </c>
      <c r="D36" s="541"/>
      <c r="E36" s="541"/>
      <c r="F36" s="542"/>
      <c r="G36" s="11">
        <f>' Önkorm A'!G36+'Hiv. kiadás'!G35+'Óvoda kiad.'!G35+'Könyvtár kiad'!G35</f>
        <v>12000000</v>
      </c>
      <c r="H36" s="11">
        <f>G36</f>
        <v>12000000</v>
      </c>
      <c r="I36" s="9"/>
      <c r="J36" s="9"/>
      <c r="K36" s="56"/>
      <c r="L36" s="56"/>
    </row>
    <row r="37" spans="1:12" ht="15">
      <c r="A37" s="13" t="s">
        <v>101</v>
      </c>
      <c r="B37" s="14" t="s">
        <v>99</v>
      </c>
      <c r="C37" s="544" t="s">
        <v>100</v>
      </c>
      <c r="D37" s="534"/>
      <c r="E37" s="534"/>
      <c r="F37" s="545"/>
      <c r="G37" s="18">
        <f>SUM(G35:G36)</f>
        <v>12000000</v>
      </c>
      <c r="H37" s="18">
        <f>SUM(H36)</f>
        <v>12000000</v>
      </c>
      <c r="I37" s="18">
        <f>SUM(I36)</f>
        <v>0</v>
      </c>
      <c r="J37" s="18">
        <f>SUM(J36)</f>
        <v>0</v>
      </c>
      <c r="K37" s="56"/>
      <c r="L37" s="56"/>
    </row>
    <row r="38" spans="1:12" ht="25.5">
      <c r="A38" s="5" t="s">
        <v>104</v>
      </c>
      <c r="B38" s="10" t="s">
        <v>102</v>
      </c>
      <c r="C38" s="540" t="s">
        <v>103</v>
      </c>
      <c r="D38" s="541"/>
      <c r="E38" s="541"/>
      <c r="F38" s="542"/>
      <c r="G38" s="11">
        <f>' Önkorm A'!G38</f>
        <v>1650000</v>
      </c>
      <c r="H38" s="11">
        <v>0</v>
      </c>
      <c r="I38" s="11">
        <f aca="true" t="shared" si="2" ref="I38:I45">G38</f>
        <v>1650000</v>
      </c>
      <c r="J38" s="9"/>
      <c r="K38" s="56"/>
      <c r="L38" s="56"/>
    </row>
    <row r="39" spans="1:12" ht="25.5">
      <c r="A39" s="5" t="s">
        <v>107</v>
      </c>
      <c r="B39" s="10" t="s">
        <v>105</v>
      </c>
      <c r="C39" s="540" t="s">
        <v>106</v>
      </c>
      <c r="D39" s="541"/>
      <c r="E39" s="541"/>
      <c r="F39" s="542"/>
      <c r="G39" s="11">
        <f>' Önkorm A'!G39</f>
        <v>26000000</v>
      </c>
      <c r="H39" s="11">
        <v>0</v>
      </c>
      <c r="I39" s="11">
        <f t="shared" si="2"/>
        <v>26000000</v>
      </c>
      <c r="J39" s="9"/>
      <c r="K39" s="56"/>
      <c r="L39" s="56"/>
    </row>
    <row r="40" spans="1:12" ht="15">
      <c r="A40" s="5" t="s">
        <v>110</v>
      </c>
      <c r="B40" s="10" t="s">
        <v>108</v>
      </c>
      <c r="C40" s="540" t="s">
        <v>109</v>
      </c>
      <c r="D40" s="541"/>
      <c r="E40" s="541"/>
      <c r="F40" s="542"/>
      <c r="G40" s="11">
        <f>' Önkorm A'!G40</f>
        <v>88230575</v>
      </c>
      <c r="H40" s="11">
        <v>0</v>
      </c>
      <c r="I40" s="11">
        <f t="shared" si="2"/>
        <v>88230575</v>
      </c>
      <c r="J40" s="9"/>
      <c r="K40" s="56"/>
      <c r="L40" s="56"/>
    </row>
    <row r="41" spans="1:12" ht="15">
      <c r="A41" s="13" t="s">
        <v>113</v>
      </c>
      <c r="B41" s="24" t="s">
        <v>111</v>
      </c>
      <c r="C41" s="544" t="s">
        <v>112</v>
      </c>
      <c r="D41" s="534"/>
      <c r="E41" s="534"/>
      <c r="F41" s="545"/>
      <c r="G41" s="18">
        <f>SUM(G38:G40)</f>
        <v>115880575</v>
      </c>
      <c r="H41" s="18"/>
      <c r="I41" s="18">
        <f t="shared" si="2"/>
        <v>115880575</v>
      </c>
      <c r="J41" s="18"/>
      <c r="K41" s="56"/>
      <c r="L41" s="56"/>
    </row>
    <row r="42" spans="1:14" ht="15">
      <c r="A42" s="5" t="s">
        <v>116</v>
      </c>
      <c r="B42" s="25" t="s">
        <v>114</v>
      </c>
      <c r="C42" s="540" t="s">
        <v>115</v>
      </c>
      <c r="D42" s="541"/>
      <c r="E42" s="541"/>
      <c r="F42" s="542"/>
      <c r="G42" s="11">
        <f>' Önkorm A'!G42+'Hiv. kiadás'!G41+'Könyvtár kiad'!G41</f>
        <v>72956636</v>
      </c>
      <c r="H42" s="45"/>
      <c r="I42" s="11">
        <f>G42</f>
        <v>72956636</v>
      </c>
      <c r="J42" s="45"/>
      <c r="K42" s="56"/>
      <c r="L42" s="56"/>
      <c r="M42" s="2"/>
      <c r="N42" s="251"/>
    </row>
    <row r="43" spans="1:14" ht="15">
      <c r="A43" s="5" t="s">
        <v>119</v>
      </c>
      <c r="B43" s="25" t="s">
        <v>235</v>
      </c>
      <c r="C43" s="565" t="s">
        <v>236</v>
      </c>
      <c r="D43" s="566"/>
      <c r="E43" s="566"/>
      <c r="F43" s="567"/>
      <c r="G43" s="11">
        <f>' Önkorm A'!G43+'Hiv. kiadás'!G42+'Óvoda kiad.'!G42+'Könyvtár kiad'!G42</f>
        <v>1322834.6456692913</v>
      </c>
      <c r="H43" s="26">
        <v>0</v>
      </c>
      <c r="I43" s="27">
        <f t="shared" si="2"/>
        <v>1322834.6456692913</v>
      </c>
      <c r="J43" s="9"/>
      <c r="K43" s="56"/>
      <c r="L43" s="56"/>
      <c r="M43" s="230"/>
      <c r="N43" s="298"/>
    </row>
    <row r="44" spans="1:14" ht="15">
      <c r="A44" s="5" t="s">
        <v>122</v>
      </c>
      <c r="B44" s="10" t="s">
        <v>117</v>
      </c>
      <c r="C44" s="540" t="s">
        <v>118</v>
      </c>
      <c r="D44" s="541"/>
      <c r="E44" s="541"/>
      <c r="F44" s="542"/>
      <c r="G44" s="11">
        <f>' Önkorm A'!G44+'Hiv. kiadás'!G43+'Óvoda kiad.'!G43+'Könyvtár kiad'!G43</f>
        <v>26735209.527559057</v>
      </c>
      <c r="H44" s="11">
        <v>0</v>
      </c>
      <c r="I44" s="27">
        <f t="shared" si="2"/>
        <v>26735209.527559057</v>
      </c>
      <c r="J44" s="9"/>
      <c r="K44" s="56"/>
      <c r="L44" s="56"/>
      <c r="M44" s="230"/>
      <c r="N44" s="298"/>
    </row>
    <row r="45" spans="1:14" ht="25.5">
      <c r="A45" s="5" t="s">
        <v>125</v>
      </c>
      <c r="B45" s="10" t="s">
        <v>120</v>
      </c>
      <c r="C45" s="540" t="s">
        <v>121</v>
      </c>
      <c r="D45" s="541"/>
      <c r="E45" s="541"/>
      <c r="F45" s="542"/>
      <c r="G45" s="11">
        <f>' Önkorm A'!G45+'Hiv. kiadás'!G44+'Óvoda kiad.'!G44+'Könyvtár kiad'!G44</f>
        <v>49652573.700787395</v>
      </c>
      <c r="H45" s="11">
        <v>0</v>
      </c>
      <c r="I45" s="27">
        <f t="shared" si="2"/>
        <v>49652573.700787395</v>
      </c>
      <c r="J45" s="9"/>
      <c r="K45" s="56"/>
      <c r="L45" s="56"/>
      <c r="M45" s="230"/>
      <c r="N45" s="299"/>
    </row>
    <row r="46" spans="1:14" ht="15">
      <c r="A46" s="66" t="s">
        <v>128</v>
      </c>
      <c r="B46" s="14" t="s">
        <v>123</v>
      </c>
      <c r="C46" s="544" t="s">
        <v>124</v>
      </c>
      <c r="D46" s="534"/>
      <c r="E46" s="534"/>
      <c r="F46" s="545"/>
      <c r="G46" s="18">
        <f>SUM(G42:G45)</f>
        <v>150667253.87401575</v>
      </c>
      <c r="H46" s="18">
        <f>SUM(H43:H45)</f>
        <v>0</v>
      </c>
      <c r="I46" s="18">
        <f>SUM(I42:I45)</f>
        <v>150667253.87401575</v>
      </c>
      <c r="J46" s="18"/>
      <c r="K46" s="56"/>
      <c r="L46" s="56"/>
      <c r="M46" s="230"/>
      <c r="N46" s="298"/>
    </row>
    <row r="47" spans="1:14" ht="15">
      <c r="A47" s="5" t="s">
        <v>131</v>
      </c>
      <c r="B47" s="10" t="s">
        <v>126</v>
      </c>
      <c r="C47" s="540" t="s">
        <v>127</v>
      </c>
      <c r="D47" s="541"/>
      <c r="E47" s="541"/>
      <c r="F47" s="542"/>
      <c r="G47" s="11">
        <f>' Önkorm A'!G47+'Hiv. kiadás'!G46+'Óvoda kiad.'!G47+'Könyvtár kiad'!G46</f>
        <v>13573318.478065241</v>
      </c>
      <c r="H47" s="11"/>
      <c r="I47" s="27">
        <f>G47</f>
        <v>13573318.478065241</v>
      </c>
      <c r="J47" s="9"/>
      <c r="K47" s="56"/>
      <c r="L47" s="56"/>
      <c r="M47" s="230"/>
      <c r="N47" s="298"/>
    </row>
    <row r="48" spans="1:12" ht="25.5">
      <c r="A48" s="5" t="s">
        <v>134</v>
      </c>
      <c r="B48" s="10" t="s">
        <v>129</v>
      </c>
      <c r="C48" s="540" t="s">
        <v>130</v>
      </c>
      <c r="D48" s="541"/>
      <c r="E48" s="541"/>
      <c r="F48" s="542"/>
      <c r="G48" s="11">
        <f>' Önkorm A'!G48+'Hiv. kiadás'!G47+'Óvoda kiad.'!G48+'Könyvtár kiad'!G47</f>
        <v>2912845.9890776156</v>
      </c>
      <c r="H48" s="11"/>
      <c r="I48" s="27">
        <f>G48</f>
        <v>2912845.9890776156</v>
      </c>
      <c r="J48" s="9"/>
      <c r="K48" s="56"/>
      <c r="L48" s="56"/>
    </row>
    <row r="49" spans="1:12" ht="15">
      <c r="A49" s="66" t="s">
        <v>137</v>
      </c>
      <c r="B49" s="14" t="s">
        <v>132</v>
      </c>
      <c r="C49" s="544" t="s">
        <v>133</v>
      </c>
      <c r="D49" s="534"/>
      <c r="E49" s="534"/>
      <c r="F49" s="545"/>
      <c r="G49" s="65">
        <f>G47+G48</f>
        <v>16486164.467142858</v>
      </c>
      <c r="H49" s="18">
        <f>SUM(H47:H48)</f>
        <v>0</v>
      </c>
      <c r="I49" s="18">
        <f>SUM(I47:I48)</f>
        <v>16486164.467142858</v>
      </c>
      <c r="J49" s="18">
        <f>SUM(J47:J48)</f>
        <v>0</v>
      </c>
      <c r="K49" s="56"/>
      <c r="L49" s="56"/>
    </row>
    <row r="50" spans="1:12" ht="38.25">
      <c r="A50" s="5" t="s">
        <v>140</v>
      </c>
      <c r="B50" s="10" t="s">
        <v>135</v>
      </c>
      <c r="C50" s="540" t="s">
        <v>136</v>
      </c>
      <c r="D50" s="541"/>
      <c r="E50" s="541"/>
      <c r="F50" s="542"/>
      <c r="G50" s="11">
        <f>'[1]Támogatás'!$D$52</f>
        <v>6000000</v>
      </c>
      <c r="H50" s="11">
        <f>G50</f>
        <v>6000000</v>
      </c>
      <c r="I50" s="9"/>
      <c r="J50" s="9"/>
      <c r="K50" s="56"/>
      <c r="L50" s="56"/>
    </row>
    <row r="51" spans="1:12" ht="15">
      <c r="A51" s="66" t="s">
        <v>147</v>
      </c>
      <c r="B51" s="14" t="s">
        <v>138</v>
      </c>
      <c r="C51" s="544" t="s">
        <v>139</v>
      </c>
      <c r="D51" s="534"/>
      <c r="E51" s="534"/>
      <c r="F51" s="545"/>
      <c r="G51" s="18">
        <f>SUM(G50)</f>
        <v>6000000</v>
      </c>
      <c r="H51" s="18">
        <f>SUM(H50)</f>
        <v>6000000</v>
      </c>
      <c r="I51" s="18">
        <f>SUM(I50)</f>
        <v>0</v>
      </c>
      <c r="J51" s="18">
        <f>SUM(J50)</f>
        <v>0</v>
      </c>
      <c r="K51" s="56"/>
      <c r="L51" s="56"/>
    </row>
    <row r="52" spans="1:12" ht="15">
      <c r="A52" s="66" t="s">
        <v>150</v>
      </c>
      <c r="B52" s="28" t="s">
        <v>141</v>
      </c>
      <c r="C52" s="535" t="s">
        <v>142</v>
      </c>
      <c r="D52" s="535"/>
      <c r="E52" s="535"/>
      <c r="F52" s="535"/>
      <c r="G52" s="18">
        <f>G19+G20+G34+G37+G41+G46+G49+G51</f>
        <v>975133623.0911586</v>
      </c>
      <c r="H52" s="18">
        <f>H19+H20+H34+H37+H41+H46+H49+H51</f>
        <v>692099629.75</v>
      </c>
      <c r="I52" s="18">
        <f>I19+I20+I34+I37+I41+I46+I49+I51</f>
        <v>283033993.3411586</v>
      </c>
      <c r="J52" s="18">
        <f>J19+J20+J34+J37+J41+J46+J49+J51</f>
        <v>0</v>
      </c>
      <c r="K52" s="56"/>
      <c r="L52" s="56"/>
    </row>
    <row r="53" spans="1:10" ht="15">
      <c r="A53" s="29"/>
      <c r="B53" s="2"/>
      <c r="C53" s="2"/>
      <c r="D53" s="2"/>
      <c r="E53" s="2"/>
      <c r="F53" s="2"/>
      <c r="G53" s="30"/>
      <c r="H53" s="30"/>
      <c r="I53" s="2"/>
      <c r="J53" s="2"/>
    </row>
    <row r="54" spans="1:10" ht="15.75" thickBot="1">
      <c r="A54" s="558" t="s">
        <v>143</v>
      </c>
      <c r="B54" s="558"/>
      <c r="C54" s="558"/>
      <c r="D54" s="558"/>
      <c r="E54" s="558"/>
      <c r="F54" s="558"/>
      <c r="G54" s="558"/>
      <c r="H54" s="558"/>
      <c r="I54" s="31"/>
      <c r="J54" s="31"/>
    </row>
    <row r="55" spans="1:12" ht="15">
      <c r="A55" s="559" t="s">
        <v>3</v>
      </c>
      <c r="B55" s="561" t="s">
        <v>4</v>
      </c>
      <c r="C55" s="562" t="s">
        <v>5</v>
      </c>
      <c r="D55" s="562"/>
      <c r="E55" s="562"/>
      <c r="F55" s="562"/>
      <c r="G55" s="563" t="s">
        <v>144</v>
      </c>
      <c r="H55" s="448"/>
      <c r="I55" s="3"/>
      <c r="J55" s="3"/>
      <c r="L55" s="56"/>
    </row>
    <row r="56" spans="1:10" ht="15">
      <c r="A56" s="560"/>
      <c r="B56" s="538"/>
      <c r="C56" s="539"/>
      <c r="D56" s="539"/>
      <c r="E56" s="539"/>
      <c r="F56" s="539"/>
      <c r="G56" s="564"/>
      <c r="H56" s="448"/>
      <c r="I56" s="2"/>
      <c r="J56" s="2"/>
    </row>
    <row r="57" spans="1:11" ht="25.5">
      <c r="A57" s="489" t="s">
        <v>439</v>
      </c>
      <c r="B57" s="19" t="s">
        <v>145</v>
      </c>
      <c r="C57" s="543" t="s">
        <v>146</v>
      </c>
      <c r="D57" s="543"/>
      <c r="E57" s="543"/>
      <c r="F57" s="543"/>
      <c r="G57" s="490">
        <v>17096991</v>
      </c>
      <c r="H57" s="290"/>
      <c r="I57" s="32"/>
      <c r="J57" s="32"/>
      <c r="K57" s="56"/>
    </row>
    <row r="58" spans="1:10" ht="25.5">
      <c r="A58" s="489" t="s">
        <v>440</v>
      </c>
      <c r="B58" s="19" t="s">
        <v>148</v>
      </c>
      <c r="C58" s="543" t="s">
        <v>149</v>
      </c>
      <c r="D58" s="543"/>
      <c r="E58" s="543"/>
      <c r="F58" s="543"/>
      <c r="G58" s="490">
        <f>'Hivatal bevétel'!G43+'Óvoda bev.'!G43+'Könyvtár bev.'!G43</f>
        <v>393427408.05</v>
      </c>
      <c r="H58" s="290"/>
      <c r="I58" s="33"/>
      <c r="J58" s="32"/>
    </row>
    <row r="59" spans="1:11" ht="15.75" thickBot="1">
      <c r="A59" s="491" t="s">
        <v>441</v>
      </c>
      <c r="B59" s="492" t="s">
        <v>151</v>
      </c>
      <c r="C59" s="556" t="s">
        <v>152</v>
      </c>
      <c r="D59" s="556"/>
      <c r="E59" s="556"/>
      <c r="F59" s="556"/>
      <c r="G59" s="493">
        <f>SUM(G57:G58)</f>
        <v>410524399.05</v>
      </c>
      <c r="H59" s="291"/>
      <c r="I59" s="32"/>
      <c r="J59" s="32"/>
      <c r="K59" s="56"/>
    </row>
    <row r="60" spans="1:10" ht="15.75" thickBot="1">
      <c r="A60" s="34"/>
      <c r="B60" s="2"/>
      <c r="C60" s="2"/>
      <c r="D60" s="2"/>
      <c r="E60" s="2"/>
      <c r="F60" s="2"/>
      <c r="G60" s="30"/>
      <c r="H60" s="500"/>
      <c r="I60" s="2"/>
      <c r="J60" s="2"/>
    </row>
    <row r="61" spans="1:10" ht="15.75" thickBot="1">
      <c r="A61" s="494" t="s">
        <v>442</v>
      </c>
      <c r="B61" s="495" t="s">
        <v>153</v>
      </c>
      <c r="C61" s="557"/>
      <c r="D61" s="557"/>
      <c r="E61" s="557"/>
      <c r="F61" s="557"/>
      <c r="G61" s="496">
        <f>G52+G59</f>
        <v>1385658022.1411586</v>
      </c>
      <c r="H61" s="291"/>
      <c r="I61" s="2"/>
      <c r="J61" s="2"/>
    </row>
    <row r="62" ht="15">
      <c r="H62" s="288"/>
    </row>
  </sheetData>
  <sheetProtection/>
  <mergeCells count="63">
    <mergeCell ref="A1:J1"/>
    <mergeCell ref="A3:H3"/>
    <mergeCell ref="A4:H4"/>
    <mergeCell ref="A5:A6"/>
    <mergeCell ref="B5:B6"/>
    <mergeCell ref="C5:F6"/>
    <mergeCell ref="G5:G6"/>
    <mergeCell ref="H5:J5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3:F33"/>
    <mergeCell ref="C34:F34"/>
    <mergeCell ref="C35:F35"/>
    <mergeCell ref="C36:F36"/>
    <mergeCell ref="C37:F37"/>
    <mergeCell ref="C32:F32"/>
    <mergeCell ref="C38:F38"/>
    <mergeCell ref="C39:F39"/>
    <mergeCell ref="C40:F40"/>
    <mergeCell ref="C41:F41"/>
    <mergeCell ref="C43:F43"/>
    <mergeCell ref="C44:F44"/>
    <mergeCell ref="C42:F42"/>
    <mergeCell ref="G55:G56"/>
    <mergeCell ref="C45:F45"/>
    <mergeCell ref="C46:F46"/>
    <mergeCell ref="C47:F47"/>
    <mergeCell ref="C48:F48"/>
    <mergeCell ref="C49:F49"/>
    <mergeCell ref="C50:F50"/>
    <mergeCell ref="C57:F57"/>
    <mergeCell ref="C58:F58"/>
    <mergeCell ref="C59:F59"/>
    <mergeCell ref="C61:F61"/>
    <mergeCell ref="C51:F51"/>
    <mergeCell ref="C52:F52"/>
    <mergeCell ref="A54:H54"/>
    <mergeCell ref="A55:A56"/>
    <mergeCell ref="B55:B56"/>
    <mergeCell ref="C55:F56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4">
      <selection activeCell="D35" sqref="D35"/>
    </sheetView>
  </sheetViews>
  <sheetFormatPr defaultColWidth="9.140625" defaultRowHeight="15"/>
  <cols>
    <col min="2" max="2" width="54.421875" style="0" customWidth="1"/>
    <col min="3" max="3" width="18.28125" style="0" customWidth="1"/>
    <col min="4" max="4" width="18.140625" style="0" customWidth="1"/>
    <col min="5" max="5" width="20.00390625" style="0" customWidth="1"/>
  </cols>
  <sheetData>
    <row r="1" spans="1:5" ht="15">
      <c r="A1" s="549" t="s">
        <v>369</v>
      </c>
      <c r="B1" s="549"/>
      <c r="C1" s="549"/>
      <c r="D1" s="549"/>
      <c r="E1" s="549"/>
    </row>
    <row r="3" ht="15.75">
      <c r="B3" s="227"/>
    </row>
    <row r="4" ht="15.75">
      <c r="B4" s="228" t="s">
        <v>350</v>
      </c>
    </row>
    <row r="5" ht="15.75">
      <c r="B5" s="228"/>
    </row>
    <row r="6" spans="2:5" ht="15">
      <c r="B6" s="229" t="s">
        <v>351</v>
      </c>
      <c r="C6" s="230"/>
      <c r="D6" s="230"/>
      <c r="E6" s="230"/>
    </row>
    <row r="7" spans="2:5" ht="15">
      <c r="B7" s="231" t="s">
        <v>352</v>
      </c>
      <c r="C7" s="232" t="s">
        <v>353</v>
      </c>
      <c r="D7" s="232" t="s">
        <v>354</v>
      </c>
      <c r="E7" s="232" t="s">
        <v>355</v>
      </c>
    </row>
    <row r="8" spans="2:5" ht="15">
      <c r="B8" s="231"/>
      <c r="C8" s="233"/>
      <c r="D8" s="233"/>
      <c r="E8" s="233"/>
    </row>
    <row r="9" spans="2:5" ht="15">
      <c r="B9" s="231" t="s">
        <v>356</v>
      </c>
      <c r="C9" s="233">
        <v>0</v>
      </c>
      <c r="D9" s="233"/>
      <c r="E9" s="233"/>
    </row>
    <row r="10" spans="2:5" ht="15">
      <c r="B10" s="229"/>
      <c r="C10" s="234"/>
      <c r="D10" s="230"/>
      <c r="E10" s="230"/>
    </row>
    <row r="11" spans="2:5" ht="15">
      <c r="B11" s="229" t="s">
        <v>357</v>
      </c>
      <c r="C11" s="234"/>
      <c r="D11" s="230"/>
      <c r="E11" s="230"/>
    </row>
    <row r="12" spans="2:5" ht="15">
      <c r="B12" s="232" t="s">
        <v>242</v>
      </c>
      <c r="C12" s="232" t="s">
        <v>353</v>
      </c>
      <c r="D12" s="232" t="s">
        <v>354</v>
      </c>
      <c r="E12" s="232" t="s">
        <v>355</v>
      </c>
    </row>
    <row r="13" spans="2:5" ht="15">
      <c r="B13" s="231" t="s">
        <v>358</v>
      </c>
      <c r="C13" s="235">
        <f>'önkorm.bev'!G22</f>
        <v>58600000</v>
      </c>
      <c r="D13" s="233"/>
      <c r="E13" s="236"/>
    </row>
    <row r="14" spans="2:5" ht="25.5">
      <c r="B14" s="231" t="s">
        <v>359</v>
      </c>
      <c r="C14" s="377">
        <v>3102000</v>
      </c>
      <c r="D14" s="233"/>
      <c r="E14" s="233"/>
    </row>
    <row r="15" spans="2:5" ht="15">
      <c r="B15" s="231" t="s">
        <v>360</v>
      </c>
      <c r="C15" s="235">
        <v>0</v>
      </c>
      <c r="D15" s="233"/>
      <c r="E15" s="233"/>
    </row>
    <row r="16" spans="2:5" ht="25.5">
      <c r="B16" s="231" t="s">
        <v>361</v>
      </c>
      <c r="C16" s="235">
        <v>0</v>
      </c>
      <c r="D16" s="233"/>
      <c r="E16" s="233"/>
    </row>
    <row r="17" spans="2:5" ht="15">
      <c r="B17" s="660" t="s">
        <v>362</v>
      </c>
      <c r="C17" s="661">
        <v>1000000</v>
      </c>
      <c r="D17" s="662"/>
      <c r="E17" s="662"/>
    </row>
    <row r="18" spans="2:5" ht="15">
      <c r="B18" s="660"/>
      <c r="C18" s="661"/>
      <c r="D18" s="662"/>
      <c r="E18" s="662"/>
    </row>
    <row r="19" spans="2:5" ht="15">
      <c r="B19" s="660"/>
      <c r="C19" s="661"/>
      <c r="D19" s="662"/>
      <c r="E19" s="662"/>
    </row>
    <row r="20" spans="2:5" ht="15">
      <c r="B20" s="236" t="s">
        <v>363</v>
      </c>
      <c r="C20" s="235">
        <v>0</v>
      </c>
      <c r="D20" s="232"/>
      <c r="E20" s="232"/>
    </row>
    <row r="21" spans="2:5" ht="15">
      <c r="B21" s="663" t="s">
        <v>356</v>
      </c>
      <c r="C21" s="661">
        <f>SUM(C13:C20)</f>
        <v>62702000</v>
      </c>
      <c r="D21" s="664"/>
      <c r="E21" s="237"/>
    </row>
    <row r="22" spans="2:5" ht="15">
      <c r="B22" s="663"/>
      <c r="C22" s="662"/>
      <c r="D22" s="664"/>
      <c r="E22" s="238"/>
    </row>
    <row r="23" spans="2:5" ht="15">
      <c r="B23" s="663"/>
      <c r="C23" s="662"/>
      <c r="D23" s="664"/>
      <c r="E23" s="239"/>
    </row>
    <row r="24" spans="2:5" ht="15">
      <c r="B24" s="240"/>
      <c r="C24" s="234"/>
      <c r="D24" s="230"/>
      <c r="E24" s="230"/>
    </row>
    <row r="25" spans="2:5" ht="15">
      <c r="B25" s="229" t="s">
        <v>364</v>
      </c>
      <c r="C25" s="234"/>
      <c r="D25" s="230"/>
      <c r="E25" s="230"/>
    </row>
    <row r="26" spans="2:5" ht="15">
      <c r="B26" s="229" t="s">
        <v>365</v>
      </c>
      <c r="C26" s="234"/>
      <c r="D26" s="230"/>
      <c r="E26" s="230"/>
    </row>
    <row r="27" spans="2:5" ht="15">
      <c r="B27" s="231" t="s">
        <v>242</v>
      </c>
      <c r="C27" s="232" t="s">
        <v>353</v>
      </c>
      <c r="D27" s="232" t="s">
        <v>354</v>
      </c>
      <c r="E27" s="232" t="s">
        <v>355</v>
      </c>
    </row>
    <row r="28" spans="2:5" ht="15">
      <c r="B28" s="231" t="s">
        <v>366</v>
      </c>
      <c r="C28" s="241">
        <f>C21/2</f>
        <v>31351000</v>
      </c>
      <c r="D28" s="233"/>
      <c r="E28" s="233"/>
    </row>
    <row r="29" spans="2:5" ht="15">
      <c r="B29" s="231" t="s">
        <v>367</v>
      </c>
      <c r="C29" s="241">
        <v>0</v>
      </c>
      <c r="D29" s="233"/>
      <c r="E29" s="233"/>
    </row>
    <row r="30" spans="2:5" ht="25.5">
      <c r="B30" s="231" t="s">
        <v>368</v>
      </c>
      <c r="C30" s="241">
        <f>C28-C29</f>
        <v>31351000</v>
      </c>
      <c r="D30" s="233"/>
      <c r="E30" s="233"/>
    </row>
    <row r="31" spans="2:5" ht="15">
      <c r="B31" s="230"/>
      <c r="C31" s="230"/>
      <c r="D31" s="230"/>
      <c r="E31" s="230"/>
    </row>
  </sheetData>
  <sheetProtection/>
  <mergeCells count="8">
    <mergeCell ref="A1:E1"/>
    <mergeCell ref="B17:B19"/>
    <mergeCell ref="C17:C19"/>
    <mergeCell ref="D17:D19"/>
    <mergeCell ref="E17:E19"/>
    <mergeCell ref="B21:B23"/>
    <mergeCell ref="C21:C23"/>
    <mergeCell ref="D21:D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3">
      <selection activeCell="O13" sqref="O13"/>
    </sheetView>
  </sheetViews>
  <sheetFormatPr defaultColWidth="9.140625" defaultRowHeight="15"/>
  <cols>
    <col min="3" max="3" width="30.28125" style="0" bestFit="1" customWidth="1"/>
    <col min="4" max="4" width="12.00390625" style="0" bestFit="1" customWidth="1"/>
  </cols>
  <sheetData>
    <row r="1" spans="1:10" ht="15">
      <c r="A1" s="549" t="s">
        <v>381</v>
      </c>
      <c r="B1" s="549"/>
      <c r="C1" s="549"/>
      <c r="D1" s="549"/>
      <c r="E1" s="549"/>
      <c r="F1" s="549"/>
      <c r="G1" s="549"/>
      <c r="H1" s="549"/>
      <c r="I1" s="549"/>
      <c r="J1" s="549"/>
    </row>
    <row r="3" spans="2:10" ht="15.75">
      <c r="B3" s="242"/>
      <c r="C3" s="242"/>
      <c r="D3" s="243"/>
      <c r="E3" s="244"/>
      <c r="F3" s="244"/>
      <c r="G3" s="244"/>
      <c r="H3" s="244"/>
      <c r="I3" s="244"/>
      <c r="J3" s="244"/>
    </row>
    <row r="4" spans="2:10" ht="15">
      <c r="B4" s="684" t="s">
        <v>382</v>
      </c>
      <c r="C4" s="685"/>
      <c r="D4" s="685"/>
      <c r="E4" s="685"/>
      <c r="F4" s="685"/>
      <c r="G4" s="685"/>
      <c r="H4" s="685"/>
      <c r="I4" s="685"/>
      <c r="J4" s="686"/>
    </row>
    <row r="5" spans="2:10" ht="15.75" thickBot="1">
      <c r="B5" s="687"/>
      <c r="C5" s="688"/>
      <c r="D5" s="688"/>
      <c r="E5" s="688"/>
      <c r="F5" s="688"/>
      <c r="G5" s="688"/>
      <c r="H5" s="688"/>
      <c r="I5" s="688"/>
      <c r="J5" s="689"/>
    </row>
    <row r="6" spans="2:10" ht="15">
      <c r="B6" s="245" t="s">
        <v>370</v>
      </c>
      <c r="C6" s="246" t="s">
        <v>371</v>
      </c>
      <c r="D6" s="246" t="s">
        <v>372</v>
      </c>
      <c r="E6" s="690" t="s">
        <v>373</v>
      </c>
      <c r="F6" s="690"/>
      <c r="G6" s="690"/>
      <c r="H6" s="691" t="s">
        <v>374</v>
      </c>
      <c r="I6" s="691"/>
      <c r="J6" s="691"/>
    </row>
    <row r="7" spans="2:10" ht="15">
      <c r="B7" s="247"/>
      <c r="C7" s="248"/>
      <c r="D7" s="248"/>
      <c r="E7" s="692" t="s">
        <v>243</v>
      </c>
      <c r="F7" s="693"/>
      <c r="G7" s="694"/>
      <c r="H7" s="692" t="s">
        <v>243</v>
      </c>
      <c r="I7" s="693"/>
      <c r="J7" s="695"/>
    </row>
    <row r="8" spans="2:10" ht="15">
      <c r="B8" s="669" t="s">
        <v>375</v>
      </c>
      <c r="C8" s="672" t="s">
        <v>376</v>
      </c>
      <c r="D8" s="249" t="s">
        <v>377</v>
      </c>
      <c r="E8" s="674" t="s">
        <v>378</v>
      </c>
      <c r="F8" s="675"/>
      <c r="G8" s="676"/>
      <c r="H8" s="674" t="s">
        <v>378</v>
      </c>
      <c r="I8" s="675"/>
      <c r="J8" s="677"/>
    </row>
    <row r="9" spans="2:10" ht="15">
      <c r="B9" s="670"/>
      <c r="C9" s="672"/>
      <c r="D9" s="249" t="s">
        <v>379</v>
      </c>
      <c r="E9" s="674">
        <v>11328185</v>
      </c>
      <c r="F9" s="675"/>
      <c r="G9" s="676"/>
      <c r="H9" s="674" t="s">
        <v>378</v>
      </c>
      <c r="I9" s="675"/>
      <c r="J9" s="677"/>
    </row>
    <row r="10" spans="2:10" ht="15.75" thickBot="1">
      <c r="B10" s="671"/>
      <c r="C10" s="673"/>
      <c r="D10" s="250" t="s">
        <v>250</v>
      </c>
      <c r="E10" s="678">
        <f>E9</f>
        <v>11328185</v>
      </c>
      <c r="F10" s="679"/>
      <c r="G10" s="680"/>
      <c r="H10" s="681" t="s">
        <v>378</v>
      </c>
      <c r="I10" s="682"/>
      <c r="J10" s="683"/>
    </row>
    <row r="11" spans="2:10" ht="15.75" thickBot="1">
      <c r="B11" s="665" t="s">
        <v>380</v>
      </c>
      <c r="C11" s="665"/>
      <c r="D11" s="665"/>
      <c r="E11" s="666">
        <f>E10</f>
        <v>11328185</v>
      </c>
      <c r="F11" s="667"/>
      <c r="G11" s="668"/>
      <c r="H11" s="666"/>
      <c r="I11" s="667"/>
      <c r="J11" s="668"/>
    </row>
  </sheetData>
  <sheetProtection/>
  <mergeCells count="17">
    <mergeCell ref="H10:J10"/>
    <mergeCell ref="A1:J1"/>
    <mergeCell ref="B4:J5"/>
    <mergeCell ref="E6:G6"/>
    <mergeCell ref="H6:J6"/>
    <mergeCell ref="E7:G7"/>
    <mergeCell ref="H7:J7"/>
    <mergeCell ref="B11:D11"/>
    <mergeCell ref="E11:G11"/>
    <mergeCell ref="H11:J11"/>
    <mergeCell ref="B8:B10"/>
    <mergeCell ref="C8:C10"/>
    <mergeCell ref="E8:G8"/>
    <mergeCell ref="H8:J8"/>
    <mergeCell ref="E9:G9"/>
    <mergeCell ref="H9:J9"/>
    <mergeCell ref="E10:G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B1">
      <selection activeCell="H46" sqref="H46"/>
    </sheetView>
  </sheetViews>
  <sheetFormatPr defaultColWidth="9.140625" defaultRowHeight="15"/>
  <cols>
    <col min="2" max="2" width="36.57421875" style="0" customWidth="1"/>
    <col min="6" max="6" width="9.421875" style="0" customWidth="1"/>
    <col min="7" max="7" width="15.8515625" style="357" bestFit="1" customWidth="1"/>
    <col min="8" max="8" width="10.8515625" style="357" bestFit="1" customWidth="1"/>
    <col min="9" max="9" width="10.140625" style="358" bestFit="1" customWidth="1"/>
    <col min="10" max="10" width="9.140625" style="358" customWidth="1"/>
    <col min="12" max="12" width="9.8515625" style="0" bestFit="1" customWidth="1"/>
  </cols>
  <sheetData>
    <row r="1" spans="1:10" ht="15">
      <c r="A1" s="549" t="s">
        <v>154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5">
      <c r="A2" s="1"/>
      <c r="B2" s="1"/>
      <c r="C2" s="1"/>
      <c r="D2" s="1"/>
      <c r="E2" s="1"/>
      <c r="F2" s="1"/>
      <c r="G2" s="350"/>
      <c r="H2" s="351"/>
      <c r="I2" s="319"/>
      <c r="J2" s="319"/>
    </row>
    <row r="3" spans="1:10" ht="15.75">
      <c r="A3" s="550" t="s">
        <v>1</v>
      </c>
      <c r="B3" s="550"/>
      <c r="C3" s="550"/>
      <c r="D3" s="550"/>
      <c r="E3" s="550"/>
      <c r="F3" s="550"/>
      <c r="G3" s="550"/>
      <c r="H3" s="351"/>
      <c r="I3" s="319"/>
      <c r="J3" s="319"/>
    </row>
    <row r="4" spans="1:10" ht="15.75">
      <c r="A4" s="551" t="s">
        <v>155</v>
      </c>
      <c r="B4" s="552"/>
      <c r="C4" s="552"/>
      <c r="D4" s="552"/>
      <c r="E4" s="552"/>
      <c r="F4" s="552"/>
      <c r="G4" s="552"/>
      <c r="H4" s="351"/>
      <c r="I4" s="319"/>
      <c r="J4" s="319"/>
    </row>
    <row r="5" spans="1:10" ht="15">
      <c r="A5" s="537" t="s">
        <v>3</v>
      </c>
      <c r="B5" s="538" t="s">
        <v>4</v>
      </c>
      <c r="C5" s="539" t="s">
        <v>5</v>
      </c>
      <c r="D5" s="539"/>
      <c r="E5" s="539"/>
      <c r="F5" s="539"/>
      <c r="G5" s="575" t="s">
        <v>144</v>
      </c>
      <c r="H5" s="553" t="s">
        <v>7</v>
      </c>
      <c r="I5" s="554"/>
      <c r="J5" s="555"/>
    </row>
    <row r="6" spans="1:10" ht="26.25">
      <c r="A6" s="537"/>
      <c r="B6" s="538"/>
      <c r="C6" s="539"/>
      <c r="D6" s="539"/>
      <c r="E6" s="539"/>
      <c r="F6" s="539"/>
      <c r="G6" s="575"/>
      <c r="H6" s="58" t="s">
        <v>8</v>
      </c>
      <c r="I6" s="4" t="s">
        <v>9</v>
      </c>
      <c r="J6" s="4" t="s">
        <v>10</v>
      </c>
    </row>
    <row r="7" spans="1:10" ht="25.5">
      <c r="A7" s="5" t="s">
        <v>11</v>
      </c>
      <c r="B7" s="6" t="s">
        <v>156</v>
      </c>
      <c r="C7" s="543" t="s">
        <v>157</v>
      </c>
      <c r="D7" s="543"/>
      <c r="E7" s="543"/>
      <c r="F7" s="543"/>
      <c r="G7" s="352">
        <f>203690341+1036753+2720125</f>
        <v>207447219</v>
      </c>
      <c r="H7" s="352">
        <f>G7</f>
        <v>207447219</v>
      </c>
      <c r="I7" s="189"/>
      <c r="J7" s="189"/>
    </row>
    <row r="8" spans="1:10" ht="25.5">
      <c r="A8" s="5" t="s">
        <v>14</v>
      </c>
      <c r="B8" s="10" t="s">
        <v>158</v>
      </c>
      <c r="C8" s="543" t="s">
        <v>159</v>
      </c>
      <c r="D8" s="543"/>
      <c r="E8" s="543"/>
      <c r="F8" s="543"/>
      <c r="G8" s="352">
        <f>126082200+3300000+5940720+214140+5390000</f>
        <v>140927060</v>
      </c>
      <c r="H8" s="352">
        <f aca="true" t="shared" si="0" ref="H8:H13">G8</f>
        <v>140927060</v>
      </c>
      <c r="I8" s="189"/>
      <c r="J8" s="189"/>
    </row>
    <row r="9" spans="1:12" ht="25.5">
      <c r="A9" s="5" t="s">
        <v>17</v>
      </c>
      <c r="B9" s="10" t="s">
        <v>160</v>
      </c>
      <c r="C9" s="543" t="s">
        <v>161</v>
      </c>
      <c r="D9" s="543"/>
      <c r="E9" s="543"/>
      <c r="F9" s="543"/>
      <c r="G9" s="352">
        <f>30945273+6002416+5812900+1178100+312000+492000+'[8]Hiv.'!$Q$72</f>
        <v>50258669</v>
      </c>
      <c r="H9" s="352">
        <v>0</v>
      </c>
      <c r="I9" s="189"/>
      <c r="J9" s="189"/>
      <c r="L9" s="56"/>
    </row>
    <row r="10" spans="1:10" ht="25.5">
      <c r="A10" s="5" t="s">
        <v>20</v>
      </c>
      <c r="B10" s="10" t="s">
        <v>162</v>
      </c>
      <c r="C10" s="540" t="s">
        <v>163</v>
      </c>
      <c r="D10" s="576"/>
      <c r="E10" s="576"/>
      <c r="F10" s="577"/>
      <c r="G10" s="352">
        <f>42947075+786600+1983744</f>
        <v>45717419</v>
      </c>
      <c r="H10" s="352">
        <v>0</v>
      </c>
      <c r="I10" s="189"/>
      <c r="J10" s="189"/>
    </row>
    <row r="11" spans="1:10" ht="38.25">
      <c r="A11" s="5" t="s">
        <v>23</v>
      </c>
      <c r="B11" s="10" t="s">
        <v>164</v>
      </c>
      <c r="C11" s="540" t="s">
        <v>165</v>
      </c>
      <c r="D11" s="576"/>
      <c r="E11" s="576"/>
      <c r="F11" s="577"/>
      <c r="G11" s="352"/>
      <c r="H11" s="437">
        <f>G9+G10</f>
        <v>95976088</v>
      </c>
      <c r="I11" s="189"/>
      <c r="J11" s="189"/>
    </row>
    <row r="12" spans="1:10" ht="25.5">
      <c r="A12" s="5" t="s">
        <v>26</v>
      </c>
      <c r="B12" s="10" t="s">
        <v>166</v>
      </c>
      <c r="C12" s="543" t="s">
        <v>167</v>
      </c>
      <c r="D12" s="543"/>
      <c r="E12" s="543"/>
      <c r="F12" s="543"/>
      <c r="G12" s="352">
        <f>11157946</f>
        <v>11157946</v>
      </c>
      <c r="H12" s="352">
        <f t="shared" si="0"/>
        <v>11157946</v>
      </c>
      <c r="I12" s="189"/>
      <c r="J12" s="189"/>
    </row>
    <row r="13" spans="1:10" ht="15">
      <c r="A13" s="5" t="s">
        <v>29</v>
      </c>
      <c r="B13" s="378" t="s">
        <v>424</v>
      </c>
      <c r="C13" s="543" t="s">
        <v>423</v>
      </c>
      <c r="D13" s="543"/>
      <c r="E13" s="543"/>
      <c r="F13" s="543"/>
      <c r="G13" s="352">
        <v>15000000</v>
      </c>
      <c r="H13" s="352">
        <f t="shared" si="0"/>
        <v>15000000</v>
      </c>
      <c r="I13" s="189"/>
      <c r="J13" s="189"/>
    </row>
    <row r="14" spans="1:11" ht="25.5">
      <c r="A14" s="5" t="s">
        <v>32</v>
      </c>
      <c r="B14" s="10" t="s">
        <v>170</v>
      </c>
      <c r="C14" s="543" t="s">
        <v>171</v>
      </c>
      <c r="D14" s="543"/>
      <c r="E14" s="543"/>
      <c r="F14" s="543"/>
      <c r="G14" s="352">
        <v>78048458</v>
      </c>
      <c r="H14" s="352">
        <v>78048458</v>
      </c>
      <c r="I14" s="189"/>
      <c r="J14" s="189"/>
      <c r="K14" s="296"/>
    </row>
    <row r="15" spans="1:10" ht="25.5">
      <c r="A15" s="13" t="s">
        <v>35</v>
      </c>
      <c r="B15" s="14" t="s">
        <v>172</v>
      </c>
      <c r="C15" s="535" t="s">
        <v>173</v>
      </c>
      <c r="D15" s="535"/>
      <c r="E15" s="535"/>
      <c r="F15" s="535"/>
      <c r="G15" s="59">
        <f>SUM(G7:G14)</f>
        <v>548556771</v>
      </c>
      <c r="H15" s="59">
        <f>SUM(H7:H14)</f>
        <v>548556771</v>
      </c>
      <c r="I15" s="18">
        <f>SUM(I7:I14)</f>
        <v>0</v>
      </c>
      <c r="J15" s="18">
        <f>SUM(J7:J14)</f>
        <v>0</v>
      </c>
    </row>
    <row r="16" spans="1:10" ht="25.5">
      <c r="A16" s="5" t="s">
        <v>38</v>
      </c>
      <c r="B16" s="10" t="s">
        <v>174</v>
      </c>
      <c r="C16" s="543" t="s">
        <v>175</v>
      </c>
      <c r="D16" s="543"/>
      <c r="E16" s="543"/>
      <c r="F16" s="543"/>
      <c r="G16" s="352">
        <f>'bev.össz'!G16</f>
        <v>11328185</v>
      </c>
      <c r="H16" s="352">
        <v>11328185</v>
      </c>
      <c r="I16" s="320"/>
      <c r="J16" s="320"/>
    </row>
    <row r="17" spans="1:10" ht="25.5">
      <c r="A17" s="13" t="s">
        <v>41</v>
      </c>
      <c r="B17" s="14" t="s">
        <v>176</v>
      </c>
      <c r="C17" s="535" t="s">
        <v>177</v>
      </c>
      <c r="D17" s="535"/>
      <c r="E17" s="535"/>
      <c r="F17" s="535"/>
      <c r="G17" s="59">
        <f>G16</f>
        <v>11328185</v>
      </c>
      <c r="H17" s="59">
        <f>H16</f>
        <v>11328185</v>
      </c>
      <c r="I17" s="18">
        <f>I16</f>
        <v>0</v>
      </c>
      <c r="J17" s="18">
        <f>J16</f>
        <v>0</v>
      </c>
    </row>
    <row r="18" spans="1:10" ht="15">
      <c r="A18" s="5" t="s">
        <v>44</v>
      </c>
      <c r="B18" s="10" t="s">
        <v>178</v>
      </c>
      <c r="C18" s="543" t="s">
        <v>179</v>
      </c>
      <c r="D18" s="543"/>
      <c r="E18" s="543"/>
      <c r="F18" s="543"/>
      <c r="G18" s="352">
        <f>'[4]Bev.Önk.'!$E$29</f>
        <v>13000000</v>
      </c>
      <c r="H18" s="353">
        <f>G18</f>
        <v>13000000</v>
      </c>
      <c r="I18" s="189"/>
      <c r="J18" s="189"/>
    </row>
    <row r="19" spans="1:10" ht="15">
      <c r="A19" s="5" t="s">
        <v>47</v>
      </c>
      <c r="B19" s="10" t="s">
        <v>180</v>
      </c>
      <c r="C19" s="543" t="s">
        <v>181</v>
      </c>
      <c r="D19" s="543"/>
      <c r="E19" s="543"/>
      <c r="F19" s="543"/>
      <c r="G19" s="352">
        <f>'[4]Bev.Önk.'!$F$96</f>
        <v>45000000</v>
      </c>
      <c r="H19" s="353">
        <f>G19</f>
        <v>45000000</v>
      </c>
      <c r="I19" s="189"/>
      <c r="J19" s="189"/>
    </row>
    <row r="20" spans="1:10" ht="15">
      <c r="A20" s="5" t="s">
        <v>50</v>
      </c>
      <c r="B20" s="10" t="s">
        <v>182</v>
      </c>
      <c r="C20" s="543" t="s">
        <v>183</v>
      </c>
      <c r="D20" s="543"/>
      <c r="E20" s="543"/>
      <c r="F20" s="543"/>
      <c r="G20" s="352">
        <f>'[2]Bev.Önk.'!$F$96</f>
        <v>0</v>
      </c>
      <c r="H20" s="353">
        <f>G20</f>
        <v>0</v>
      </c>
      <c r="I20" s="189"/>
      <c r="J20" s="189"/>
    </row>
    <row r="21" spans="1:10" ht="15">
      <c r="A21" s="5" t="s">
        <v>53</v>
      </c>
      <c r="B21" s="10" t="s">
        <v>184</v>
      </c>
      <c r="C21" s="543" t="s">
        <v>185</v>
      </c>
      <c r="D21" s="543"/>
      <c r="E21" s="543"/>
      <c r="F21" s="543"/>
      <c r="G21" s="352">
        <f>'[4]Bev.Önk.'!$F$87</f>
        <v>600000</v>
      </c>
      <c r="H21" s="353">
        <f>G21</f>
        <v>600000</v>
      </c>
      <c r="I21" s="189"/>
      <c r="J21" s="189"/>
    </row>
    <row r="22" spans="1:10" ht="15">
      <c r="A22" s="13" t="s">
        <v>56</v>
      </c>
      <c r="B22" s="14" t="s">
        <v>186</v>
      </c>
      <c r="C22" s="535" t="s">
        <v>187</v>
      </c>
      <c r="D22" s="535"/>
      <c r="E22" s="535"/>
      <c r="F22" s="535"/>
      <c r="G22" s="59">
        <f>SUM(G18:G21)</f>
        <v>58600000</v>
      </c>
      <c r="H22" s="59">
        <f>SUM(H18:H21)</f>
        <v>58600000</v>
      </c>
      <c r="I22" s="18">
        <f>SUM(I18:I21)</f>
        <v>0</v>
      </c>
      <c r="J22" s="18">
        <f>SUM(J18:J21)</f>
        <v>0</v>
      </c>
    </row>
    <row r="23" spans="1:10" ht="15">
      <c r="A23" s="5" t="s">
        <v>59</v>
      </c>
      <c r="B23" s="19" t="s">
        <v>188</v>
      </c>
      <c r="C23" s="543" t="s">
        <v>189</v>
      </c>
      <c r="D23" s="543"/>
      <c r="E23" s="543"/>
      <c r="F23" s="543"/>
      <c r="G23" s="352">
        <v>6000000</v>
      </c>
      <c r="H23" s="354"/>
      <c r="I23" s="322">
        <f aca="true" t="shared" si="1" ref="I23:I28">G23</f>
        <v>6000000</v>
      </c>
      <c r="J23" s="189"/>
    </row>
    <row r="24" spans="1:10" ht="15">
      <c r="A24" s="5" t="s">
        <v>62</v>
      </c>
      <c r="B24" s="19" t="s">
        <v>190</v>
      </c>
      <c r="C24" s="543" t="s">
        <v>191</v>
      </c>
      <c r="D24" s="543"/>
      <c r="E24" s="543"/>
      <c r="F24" s="543"/>
      <c r="G24" s="352">
        <v>0</v>
      </c>
      <c r="H24" s="354"/>
      <c r="I24" s="322">
        <f t="shared" si="1"/>
        <v>0</v>
      </c>
      <c r="J24" s="189"/>
    </row>
    <row r="25" spans="1:10" ht="15">
      <c r="A25" s="5" t="s">
        <v>65</v>
      </c>
      <c r="B25" s="19" t="s">
        <v>192</v>
      </c>
      <c r="C25" s="543" t="s">
        <v>193</v>
      </c>
      <c r="D25" s="543"/>
      <c r="E25" s="543"/>
      <c r="F25" s="543"/>
      <c r="G25" s="352">
        <v>2000000</v>
      </c>
      <c r="H25" s="354"/>
      <c r="I25" s="322">
        <f t="shared" si="1"/>
        <v>2000000</v>
      </c>
      <c r="J25" s="189"/>
    </row>
    <row r="26" spans="1:10" ht="15">
      <c r="A26" s="5" t="s">
        <v>68</v>
      </c>
      <c r="B26" s="19" t="s">
        <v>194</v>
      </c>
      <c r="C26" s="543" t="s">
        <v>195</v>
      </c>
      <c r="D26" s="543"/>
      <c r="E26" s="543"/>
      <c r="F26" s="543"/>
      <c r="G26" s="352">
        <f>'[8]Bev.Önk.'!$F$103</f>
        <v>14200000</v>
      </c>
      <c r="H26" s="354"/>
      <c r="I26" s="322">
        <f t="shared" si="1"/>
        <v>14200000</v>
      </c>
      <c r="J26" s="189"/>
    </row>
    <row r="27" spans="1:10" ht="15">
      <c r="A27" s="5" t="s">
        <v>71</v>
      </c>
      <c r="B27" s="19" t="s">
        <v>196</v>
      </c>
      <c r="C27" s="543" t="s">
        <v>197</v>
      </c>
      <c r="D27" s="543"/>
      <c r="E27" s="543"/>
      <c r="F27" s="543"/>
      <c r="G27" s="352">
        <f>'[4]Bev.Önk.'!$F$103</f>
        <v>1000000</v>
      </c>
      <c r="H27" s="354"/>
      <c r="I27" s="322">
        <f t="shared" si="1"/>
        <v>1000000</v>
      </c>
      <c r="J27" s="189"/>
    </row>
    <row r="28" spans="1:10" ht="15">
      <c r="A28" s="5" t="s">
        <v>74</v>
      </c>
      <c r="B28" s="19" t="s">
        <v>198</v>
      </c>
      <c r="C28" s="543" t="s">
        <v>199</v>
      </c>
      <c r="D28" s="543"/>
      <c r="E28" s="543"/>
      <c r="F28" s="543"/>
      <c r="G28" s="352">
        <f>'[8]Bev.Önk.'!$F$105</f>
        <v>4009500</v>
      </c>
      <c r="H28" s="354"/>
      <c r="I28" s="322">
        <f t="shared" si="1"/>
        <v>4009500</v>
      </c>
      <c r="J28" s="189"/>
    </row>
    <row r="29" spans="1:10" ht="15">
      <c r="A29" s="13" t="s">
        <v>77</v>
      </c>
      <c r="B29" s="39" t="s">
        <v>200</v>
      </c>
      <c r="C29" s="535" t="s">
        <v>201</v>
      </c>
      <c r="D29" s="535"/>
      <c r="E29" s="535"/>
      <c r="F29" s="535"/>
      <c r="G29" s="59">
        <f>SUM(G23:G28)</f>
        <v>27209500</v>
      </c>
      <c r="H29" s="59">
        <f>SUM(H23:H28)</f>
        <v>0</v>
      </c>
      <c r="I29" s="18">
        <f>SUM(I23:I28)</f>
        <v>27209500</v>
      </c>
      <c r="J29" s="18">
        <f>SUM(J23:J28)</f>
        <v>0</v>
      </c>
    </row>
    <row r="30" spans="1:10" ht="15">
      <c r="A30" s="40" t="s">
        <v>80</v>
      </c>
      <c r="B30" s="21" t="s">
        <v>202</v>
      </c>
      <c r="C30" s="540" t="s">
        <v>203</v>
      </c>
      <c r="D30" s="541"/>
      <c r="E30" s="541"/>
      <c r="F30" s="542"/>
      <c r="G30" s="60">
        <f>'[8]Bev.Önk.'!$F$106</f>
        <v>5785000</v>
      </c>
      <c r="H30" s="354"/>
      <c r="I30" s="322">
        <f>G30</f>
        <v>5785000</v>
      </c>
      <c r="J30" s="189"/>
    </row>
    <row r="31" spans="1:10" ht="15">
      <c r="A31" s="13" t="s">
        <v>83</v>
      </c>
      <c r="B31" s="39" t="s">
        <v>204</v>
      </c>
      <c r="C31" s="544" t="s">
        <v>205</v>
      </c>
      <c r="D31" s="534"/>
      <c r="E31" s="534"/>
      <c r="F31" s="545"/>
      <c r="G31" s="59">
        <f>SUM(G30)</f>
        <v>5785000</v>
      </c>
      <c r="H31" s="59">
        <f>SUM(H30)</f>
        <v>0</v>
      </c>
      <c r="I31" s="18">
        <f>SUM(I30)</f>
        <v>5785000</v>
      </c>
      <c r="J31" s="18">
        <f>SUM(J30)</f>
        <v>0</v>
      </c>
    </row>
    <row r="32" spans="1:10" ht="38.25">
      <c r="A32" s="5" t="s">
        <v>86</v>
      </c>
      <c r="B32" s="10" t="s">
        <v>206</v>
      </c>
      <c r="C32" s="543" t="s">
        <v>207</v>
      </c>
      <c r="D32" s="543"/>
      <c r="E32" s="543"/>
      <c r="F32" s="543"/>
      <c r="G32" s="352">
        <f>'[1]Bev.Önk.'!$F$88</f>
        <v>3687509</v>
      </c>
      <c r="H32" s="352">
        <f>G32</f>
        <v>3687509</v>
      </c>
      <c r="I32" s="20"/>
      <c r="J32" s="20"/>
    </row>
    <row r="33" spans="1:10" ht="15">
      <c r="A33" s="13" t="s">
        <v>89</v>
      </c>
      <c r="B33" s="14" t="s">
        <v>208</v>
      </c>
      <c r="C33" s="535" t="s">
        <v>209</v>
      </c>
      <c r="D33" s="535"/>
      <c r="E33" s="535"/>
      <c r="F33" s="535"/>
      <c r="G33" s="59">
        <f>SUM(G32)</f>
        <v>3687509</v>
      </c>
      <c r="H33" s="59">
        <f>SUM(H32)</f>
        <v>3687509</v>
      </c>
      <c r="I33" s="18">
        <f>SUM(I32)</f>
        <v>0</v>
      </c>
      <c r="J33" s="18">
        <f>SUM(J32)</f>
        <v>0</v>
      </c>
    </row>
    <row r="34" spans="1:10" ht="15">
      <c r="A34" s="5" t="s">
        <v>92</v>
      </c>
      <c r="B34" s="10" t="s">
        <v>210</v>
      </c>
      <c r="C34" s="540" t="s">
        <v>211</v>
      </c>
      <c r="D34" s="541"/>
      <c r="E34" s="541"/>
      <c r="F34" s="542"/>
      <c r="G34" s="60">
        <f>'[1]Bev.Önk.'!$F$89</f>
        <v>1000000</v>
      </c>
      <c r="H34" s="60">
        <f>'[1]Bev.Önk.'!$F$89</f>
        <v>1000000</v>
      </c>
      <c r="I34" s="189"/>
      <c r="J34" s="189"/>
    </row>
    <row r="35" spans="1:10" ht="15">
      <c r="A35" s="13" t="s">
        <v>95</v>
      </c>
      <c r="B35" s="14" t="s">
        <v>212</v>
      </c>
      <c r="C35" s="535" t="s">
        <v>213</v>
      </c>
      <c r="D35" s="535"/>
      <c r="E35" s="535"/>
      <c r="F35" s="535"/>
      <c r="G35" s="59">
        <f>SUM(G34)</f>
        <v>1000000</v>
      </c>
      <c r="H35" s="59">
        <f>SUM(H34)</f>
        <v>1000000</v>
      </c>
      <c r="I35" s="18">
        <f>SUM(I34)</f>
        <v>0</v>
      </c>
      <c r="J35" s="18">
        <f>SUM(J34)</f>
        <v>0</v>
      </c>
    </row>
    <row r="36" spans="1:10" ht="25.5">
      <c r="A36" s="13" t="s">
        <v>98</v>
      </c>
      <c r="B36" s="28" t="s">
        <v>214</v>
      </c>
      <c r="C36" s="535" t="s">
        <v>215</v>
      </c>
      <c r="D36" s="535"/>
      <c r="E36" s="535"/>
      <c r="F36" s="535"/>
      <c r="G36" s="59">
        <f>G15+G17+G22+G29+G31+G33+G35</f>
        <v>656166965</v>
      </c>
      <c r="H36" s="59">
        <f>H15+H17+H22+H29+H31+H33+H35</f>
        <v>623172465</v>
      </c>
      <c r="I36" s="18">
        <f>I15+I17+I22+I29+I31+I33+I35</f>
        <v>32994500</v>
      </c>
      <c r="J36" s="18">
        <f>J15+J17+J22+J29+J31+J33+J35</f>
        <v>0</v>
      </c>
    </row>
    <row r="37" spans="1:10" ht="15">
      <c r="A37" s="29"/>
      <c r="B37" s="2"/>
      <c r="C37" s="2"/>
      <c r="D37" s="2"/>
      <c r="E37" s="2"/>
      <c r="F37" s="2"/>
      <c r="G37" s="351"/>
      <c r="H37" s="351"/>
      <c r="I37" s="319"/>
      <c r="J37" s="319"/>
    </row>
    <row r="38" spans="1:10" ht="15">
      <c r="A38" s="579" t="s">
        <v>216</v>
      </c>
      <c r="B38" s="579"/>
      <c r="C38" s="579"/>
      <c r="D38" s="579"/>
      <c r="E38" s="579"/>
      <c r="F38" s="579"/>
      <c r="G38" s="579"/>
      <c r="H38" s="355"/>
      <c r="I38" s="324"/>
      <c r="J38" s="324"/>
    </row>
    <row r="39" spans="1:10" ht="15">
      <c r="A39" s="537" t="s">
        <v>3</v>
      </c>
      <c r="B39" s="538" t="s">
        <v>4</v>
      </c>
      <c r="C39" s="539" t="s">
        <v>5</v>
      </c>
      <c r="D39" s="539"/>
      <c r="E39" s="539"/>
      <c r="F39" s="539"/>
      <c r="G39" s="578" t="s">
        <v>144</v>
      </c>
      <c r="H39" s="351"/>
      <c r="I39" s="319"/>
      <c r="J39" s="319"/>
    </row>
    <row r="40" spans="1:10" ht="15">
      <c r="A40" s="537"/>
      <c r="B40" s="538"/>
      <c r="C40" s="539"/>
      <c r="D40" s="539"/>
      <c r="E40" s="539"/>
      <c r="F40" s="539"/>
      <c r="G40" s="578"/>
      <c r="H40" s="351"/>
      <c r="I40" s="319"/>
      <c r="J40" s="319"/>
    </row>
    <row r="41" spans="1:10" ht="25.5">
      <c r="A41" s="5" t="s">
        <v>101</v>
      </c>
      <c r="B41" s="19" t="s">
        <v>217</v>
      </c>
      <c r="C41" s="543" t="s">
        <v>218</v>
      </c>
      <c r="D41" s="543"/>
      <c r="E41" s="543"/>
      <c r="F41" s="543"/>
      <c r="G41" s="352">
        <v>289294658</v>
      </c>
      <c r="H41" s="355"/>
      <c r="I41" s="324"/>
      <c r="J41" s="324"/>
    </row>
    <row r="42" spans="1:10" ht="15">
      <c r="A42" s="5" t="s">
        <v>104</v>
      </c>
      <c r="B42" s="19" t="s">
        <v>219</v>
      </c>
      <c r="C42" s="543" t="s">
        <v>220</v>
      </c>
      <c r="D42" s="543"/>
      <c r="E42" s="543"/>
      <c r="F42" s="543"/>
      <c r="G42" s="352"/>
      <c r="H42" s="355"/>
      <c r="I42" s="324"/>
      <c r="J42" s="324"/>
    </row>
    <row r="43" spans="1:10" ht="15">
      <c r="A43" s="5" t="s">
        <v>107</v>
      </c>
      <c r="B43" s="19" t="s">
        <v>221</v>
      </c>
      <c r="C43" s="540" t="s">
        <v>222</v>
      </c>
      <c r="D43" s="541"/>
      <c r="E43" s="541"/>
      <c r="F43" s="542"/>
      <c r="G43" s="352"/>
      <c r="H43" s="355"/>
      <c r="I43" s="324"/>
      <c r="J43" s="324"/>
    </row>
    <row r="44" spans="1:10" ht="15">
      <c r="A44" s="13" t="s">
        <v>110</v>
      </c>
      <c r="B44" s="28" t="s">
        <v>223</v>
      </c>
      <c r="C44" s="544" t="s">
        <v>224</v>
      </c>
      <c r="D44" s="534"/>
      <c r="E44" s="534"/>
      <c r="F44" s="545"/>
      <c r="G44" s="59">
        <f>SUM(G41:G43)</f>
        <v>289294658</v>
      </c>
      <c r="H44" s="355"/>
      <c r="I44" s="324"/>
      <c r="J44" s="324"/>
    </row>
    <row r="45" spans="1:10" ht="15">
      <c r="A45" s="34"/>
      <c r="B45" s="2"/>
      <c r="C45" s="2"/>
      <c r="D45" s="2"/>
      <c r="E45" s="2"/>
      <c r="F45" s="2"/>
      <c r="G45" s="351"/>
      <c r="H45" s="351"/>
      <c r="I45" s="319"/>
      <c r="J45" s="319"/>
    </row>
    <row r="46" spans="1:10" ht="15">
      <c r="A46" s="35"/>
      <c r="B46" s="36" t="s">
        <v>225</v>
      </c>
      <c r="C46" s="534"/>
      <c r="D46" s="534"/>
      <c r="E46" s="534"/>
      <c r="F46" s="534"/>
      <c r="G46" s="61">
        <f>G36+G44</f>
        <v>945461623</v>
      </c>
      <c r="H46" s="356"/>
      <c r="I46" s="319"/>
      <c r="J46" s="319"/>
    </row>
    <row r="47" spans="1:6" ht="15">
      <c r="A47" s="230"/>
      <c r="B47" s="230"/>
      <c r="C47" s="230"/>
      <c r="D47" s="230"/>
      <c r="E47" s="230"/>
      <c r="F47" s="230"/>
    </row>
    <row r="48" spans="1:6" ht="15">
      <c r="A48" s="230"/>
      <c r="B48" s="230"/>
      <c r="C48" s="230"/>
      <c r="D48" s="230"/>
      <c r="E48" s="230"/>
      <c r="F48" s="230"/>
    </row>
    <row r="49" spans="1:6" ht="15">
      <c r="A49" s="230"/>
      <c r="B49" s="230"/>
      <c r="C49" s="230"/>
      <c r="D49" s="230"/>
      <c r="E49" s="230"/>
      <c r="F49" s="230"/>
    </row>
    <row r="50" spans="1:6" ht="15">
      <c r="A50" s="230"/>
      <c r="B50" s="230"/>
      <c r="C50" s="230"/>
      <c r="D50" s="230"/>
      <c r="E50" s="230"/>
      <c r="F50" s="230"/>
    </row>
    <row r="51" spans="1:6" ht="15">
      <c r="A51" s="230"/>
      <c r="B51" s="230"/>
      <c r="C51" s="230"/>
      <c r="D51" s="230"/>
      <c r="E51" s="230"/>
      <c r="F51" s="230"/>
    </row>
    <row r="52" spans="1:6" ht="15">
      <c r="A52" s="230"/>
      <c r="B52" s="230"/>
      <c r="C52" s="230"/>
      <c r="D52" s="230"/>
      <c r="E52" s="230"/>
      <c r="F52" s="230"/>
    </row>
    <row r="53" spans="1:6" ht="15">
      <c r="A53" s="230"/>
      <c r="B53" s="230"/>
      <c r="C53" s="230"/>
      <c r="D53" s="230"/>
      <c r="E53" s="230"/>
      <c r="F53" s="230"/>
    </row>
  </sheetData>
  <sheetProtection/>
  <mergeCells count="48">
    <mergeCell ref="C44:F44"/>
    <mergeCell ref="C46:F46"/>
    <mergeCell ref="C35:F35"/>
    <mergeCell ref="C36:F36"/>
    <mergeCell ref="A38:G38"/>
    <mergeCell ref="A39:A40"/>
    <mergeCell ref="B39:B40"/>
    <mergeCell ref="C39:F40"/>
    <mergeCell ref="C43:F43"/>
    <mergeCell ref="C33:F33"/>
    <mergeCell ref="C30:F30"/>
    <mergeCell ref="C31:F31"/>
    <mergeCell ref="C34:F34"/>
    <mergeCell ref="C41:F41"/>
    <mergeCell ref="C42:F42"/>
    <mergeCell ref="C22:F22"/>
    <mergeCell ref="C23:F23"/>
    <mergeCell ref="C24:F24"/>
    <mergeCell ref="C25:F25"/>
    <mergeCell ref="G39:G40"/>
    <mergeCell ref="C26:F26"/>
    <mergeCell ref="C27:F27"/>
    <mergeCell ref="C28:F28"/>
    <mergeCell ref="C29:F29"/>
    <mergeCell ref="C32:F32"/>
    <mergeCell ref="C16:F16"/>
    <mergeCell ref="C17:F17"/>
    <mergeCell ref="C18:F18"/>
    <mergeCell ref="C19:F19"/>
    <mergeCell ref="C20:F20"/>
    <mergeCell ref="C21:F21"/>
    <mergeCell ref="C7:F7"/>
    <mergeCell ref="C8:F8"/>
    <mergeCell ref="C9:F9"/>
    <mergeCell ref="C12:F12"/>
    <mergeCell ref="C13:F13"/>
    <mergeCell ref="C10:F10"/>
    <mergeCell ref="C11:F11"/>
    <mergeCell ref="C14:F14"/>
    <mergeCell ref="C15:F15"/>
    <mergeCell ref="A1:J1"/>
    <mergeCell ref="A3:G3"/>
    <mergeCell ref="A4:G4"/>
    <mergeCell ref="A5:A6"/>
    <mergeCell ref="B5:B6"/>
    <mergeCell ref="C5:F6"/>
    <mergeCell ref="G5:G6"/>
    <mergeCell ref="H5:J5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55">
      <selection activeCell="I61" sqref="I61"/>
    </sheetView>
  </sheetViews>
  <sheetFormatPr defaultColWidth="9.140625" defaultRowHeight="15"/>
  <cols>
    <col min="1" max="1" width="9.140625" style="358" customWidth="1"/>
    <col min="2" max="2" width="27.421875" style="358" customWidth="1"/>
    <col min="3" max="5" width="9.140625" style="358" customWidth="1"/>
    <col min="6" max="6" width="9.00390625" style="358" customWidth="1"/>
    <col min="7" max="7" width="15.8515625" style="460" customWidth="1"/>
    <col min="8" max="9" width="10.8515625" style="460" bestFit="1" customWidth="1"/>
    <col min="10" max="10" width="6.28125" style="358" bestFit="1" customWidth="1"/>
    <col min="11" max="11" width="10.8515625" style="358" bestFit="1" customWidth="1"/>
    <col min="12" max="12" width="11.421875" style="358" bestFit="1" customWidth="1"/>
    <col min="13" max="13" width="11.8515625" style="358" bestFit="1" customWidth="1"/>
    <col min="14" max="14" width="12.140625" style="358" bestFit="1" customWidth="1"/>
    <col min="15" max="15" width="12.00390625" style="358" bestFit="1" customWidth="1"/>
    <col min="16" max="16384" width="9.140625" style="358" customWidth="1"/>
  </cols>
  <sheetData>
    <row r="1" spans="1:10" ht="12.75">
      <c r="A1" s="580" t="s">
        <v>0</v>
      </c>
      <c r="B1" s="580"/>
      <c r="C1" s="580"/>
      <c r="D1" s="580"/>
      <c r="E1" s="580"/>
      <c r="F1" s="580"/>
      <c r="G1" s="580"/>
      <c r="H1" s="580"/>
      <c r="I1" s="580"/>
      <c r="J1" s="580"/>
    </row>
    <row r="2" spans="1:10" ht="12.75">
      <c r="A2" s="318"/>
      <c r="B2" s="318"/>
      <c r="C2" s="318"/>
      <c r="D2" s="318"/>
      <c r="E2" s="318"/>
      <c r="F2" s="318"/>
      <c r="G2" s="461"/>
      <c r="H2" s="461"/>
      <c r="I2" s="451"/>
      <c r="J2" s="319"/>
    </row>
    <row r="3" spans="1:10" ht="12.75">
      <c r="A3" s="595" t="s">
        <v>1</v>
      </c>
      <c r="B3" s="595"/>
      <c r="C3" s="595"/>
      <c r="D3" s="595"/>
      <c r="E3" s="595"/>
      <c r="F3" s="595"/>
      <c r="G3" s="595"/>
      <c r="H3" s="595"/>
      <c r="I3" s="451"/>
      <c r="J3" s="319"/>
    </row>
    <row r="4" spans="1:10" ht="12.75">
      <c r="A4" s="596" t="s">
        <v>2</v>
      </c>
      <c r="B4" s="597"/>
      <c r="C4" s="597"/>
      <c r="D4" s="597"/>
      <c r="E4" s="597"/>
      <c r="F4" s="597"/>
      <c r="G4" s="597"/>
      <c r="H4" s="597"/>
      <c r="I4" s="451"/>
      <c r="J4" s="319"/>
    </row>
    <row r="5" spans="1:10" ht="12.75">
      <c r="A5" s="598" t="s">
        <v>3</v>
      </c>
      <c r="B5" s="599" t="s">
        <v>4</v>
      </c>
      <c r="C5" s="546" t="s">
        <v>5</v>
      </c>
      <c r="D5" s="546"/>
      <c r="E5" s="546"/>
      <c r="F5" s="546"/>
      <c r="G5" s="575" t="s">
        <v>6</v>
      </c>
      <c r="H5" s="553" t="s">
        <v>7</v>
      </c>
      <c r="I5" s="554"/>
      <c r="J5" s="555"/>
    </row>
    <row r="6" spans="1:15" ht="51">
      <c r="A6" s="598"/>
      <c r="B6" s="599"/>
      <c r="C6" s="546"/>
      <c r="D6" s="546"/>
      <c r="E6" s="546"/>
      <c r="F6" s="546"/>
      <c r="G6" s="575"/>
      <c r="H6" s="462" t="s">
        <v>8</v>
      </c>
      <c r="I6" s="462" t="s">
        <v>9</v>
      </c>
      <c r="J6" s="4" t="s">
        <v>10</v>
      </c>
      <c r="L6" s="370"/>
      <c r="M6" s="370"/>
      <c r="N6" s="370"/>
      <c r="O6" s="370"/>
    </row>
    <row r="7" spans="1:15" ht="25.5">
      <c r="A7" s="359" t="s">
        <v>11</v>
      </c>
      <c r="B7" s="360" t="s">
        <v>12</v>
      </c>
      <c r="C7" s="600" t="s">
        <v>13</v>
      </c>
      <c r="D7" s="600"/>
      <c r="E7" s="600"/>
      <c r="F7" s="600"/>
      <c r="G7" s="463">
        <f>'[8]Önk.A'!$F$219</f>
        <v>77691681</v>
      </c>
      <c r="H7" s="463">
        <f>G7</f>
        <v>77691681</v>
      </c>
      <c r="I7" s="452"/>
      <c r="J7" s="189"/>
      <c r="L7" s="371"/>
      <c r="M7" s="372"/>
      <c r="N7" s="372"/>
      <c r="O7" s="370"/>
    </row>
    <row r="8" spans="1:15" ht="12.75">
      <c r="A8" s="359" t="s">
        <v>14</v>
      </c>
      <c r="B8" s="360" t="s">
        <v>15</v>
      </c>
      <c r="C8" s="587" t="s">
        <v>16</v>
      </c>
      <c r="D8" s="588"/>
      <c r="E8" s="588"/>
      <c r="F8" s="589"/>
      <c r="G8" s="463">
        <f>'[8]Önk.A'!$F$241</f>
        <v>990000</v>
      </c>
      <c r="H8" s="463">
        <f aca="true" t="shared" si="0" ref="H8:H17">G8</f>
        <v>990000</v>
      </c>
      <c r="I8" s="452"/>
      <c r="J8" s="189"/>
      <c r="L8" s="373"/>
      <c r="M8" s="374"/>
      <c r="N8" s="374"/>
      <c r="O8" s="375"/>
    </row>
    <row r="9" spans="1:15" ht="38.25">
      <c r="A9" s="359" t="s">
        <v>17</v>
      </c>
      <c r="B9" s="360" t="s">
        <v>18</v>
      </c>
      <c r="C9" s="587" t="s">
        <v>19</v>
      </c>
      <c r="D9" s="588"/>
      <c r="E9" s="588"/>
      <c r="F9" s="589"/>
      <c r="G9" s="463">
        <v>0</v>
      </c>
      <c r="H9" s="463">
        <f t="shared" si="0"/>
        <v>0</v>
      </c>
      <c r="I9" s="452"/>
      <c r="J9" s="189"/>
      <c r="L9" s="374"/>
      <c r="M9" s="374"/>
      <c r="N9" s="374"/>
      <c r="O9" s="370"/>
    </row>
    <row r="10" spans="1:15" ht="12.75">
      <c r="A10" s="359" t="s">
        <v>20</v>
      </c>
      <c r="B10" s="360" t="s">
        <v>21</v>
      </c>
      <c r="C10" s="587" t="s">
        <v>22</v>
      </c>
      <c r="D10" s="588"/>
      <c r="E10" s="588"/>
      <c r="F10" s="589"/>
      <c r="G10" s="463">
        <f>'[8]Önk.A'!$F$239</f>
        <v>1044278</v>
      </c>
      <c r="H10" s="463">
        <f t="shared" si="0"/>
        <v>1044278</v>
      </c>
      <c r="I10" s="452"/>
      <c r="J10" s="189"/>
      <c r="L10" s="372"/>
      <c r="M10" s="374"/>
      <c r="N10" s="372"/>
      <c r="O10" s="370"/>
    </row>
    <row r="11" spans="1:15" ht="12.75">
      <c r="A11" s="359" t="s">
        <v>23</v>
      </c>
      <c r="B11" s="19" t="s">
        <v>24</v>
      </c>
      <c r="C11" s="600" t="s">
        <v>25</v>
      </c>
      <c r="D11" s="600"/>
      <c r="E11" s="600"/>
      <c r="F11" s="600"/>
      <c r="G11" s="463">
        <f>'[8]Önk.A'!$F$220</f>
        <v>1764000</v>
      </c>
      <c r="H11" s="463">
        <f t="shared" si="0"/>
        <v>1764000</v>
      </c>
      <c r="I11" s="452"/>
      <c r="J11" s="189"/>
      <c r="L11" s="372"/>
      <c r="M11" s="374"/>
      <c r="N11" s="376"/>
      <c r="O11" s="370"/>
    </row>
    <row r="12" spans="1:15" ht="12.75">
      <c r="A12" s="359" t="s">
        <v>26</v>
      </c>
      <c r="B12" s="19" t="s">
        <v>27</v>
      </c>
      <c r="C12" s="587" t="s">
        <v>28</v>
      </c>
      <c r="D12" s="588"/>
      <c r="E12" s="588"/>
      <c r="F12" s="589"/>
      <c r="G12" s="463">
        <v>0</v>
      </c>
      <c r="H12" s="463">
        <f t="shared" si="0"/>
        <v>0</v>
      </c>
      <c r="I12" s="452"/>
      <c r="J12" s="189"/>
      <c r="L12" s="370"/>
      <c r="M12" s="370"/>
      <c r="N12" s="370"/>
      <c r="O12" s="370"/>
    </row>
    <row r="13" spans="1:15" ht="12.75">
      <c r="A13" s="359" t="s">
        <v>29</v>
      </c>
      <c r="B13" s="19" t="s">
        <v>30</v>
      </c>
      <c r="C13" s="600" t="s">
        <v>31</v>
      </c>
      <c r="D13" s="600"/>
      <c r="E13" s="600"/>
      <c r="F13" s="600"/>
      <c r="G13" s="463">
        <f>'[8]Önk.A'!$F$221</f>
        <v>201600</v>
      </c>
      <c r="H13" s="463">
        <f t="shared" si="0"/>
        <v>201600</v>
      </c>
      <c r="I13" s="452"/>
      <c r="J13" s="189"/>
      <c r="L13" s="372"/>
      <c r="M13" s="376"/>
      <c r="N13" s="374"/>
      <c r="O13" s="370"/>
    </row>
    <row r="14" spans="1:15" ht="12.75">
      <c r="A14" s="359" t="s">
        <v>32</v>
      </c>
      <c r="B14" s="19" t="s">
        <v>33</v>
      </c>
      <c r="C14" s="587" t="s">
        <v>34</v>
      </c>
      <c r="D14" s="588"/>
      <c r="E14" s="588"/>
      <c r="F14" s="589"/>
      <c r="G14" s="463">
        <v>0</v>
      </c>
      <c r="H14" s="463">
        <f t="shared" si="0"/>
        <v>0</v>
      </c>
      <c r="I14" s="452"/>
      <c r="J14" s="189"/>
      <c r="L14" s="372"/>
      <c r="M14" s="372"/>
      <c r="N14" s="372"/>
      <c r="O14" s="370"/>
    </row>
    <row r="15" spans="1:14" ht="25.5">
      <c r="A15" s="359" t="s">
        <v>35</v>
      </c>
      <c r="B15" s="19" t="s">
        <v>36</v>
      </c>
      <c r="C15" s="587" t="s">
        <v>37</v>
      </c>
      <c r="D15" s="588"/>
      <c r="E15" s="588"/>
      <c r="F15" s="589"/>
      <c r="G15" s="463">
        <f>'[6]Önk.j'!$F$216</f>
        <v>0</v>
      </c>
      <c r="H15" s="463">
        <f t="shared" si="0"/>
        <v>0</v>
      </c>
      <c r="I15" s="452"/>
      <c r="J15" s="189"/>
      <c r="L15" s="319"/>
      <c r="M15" s="319"/>
      <c r="N15" s="319"/>
    </row>
    <row r="16" spans="1:15" ht="25.5">
      <c r="A16" s="359" t="s">
        <v>38</v>
      </c>
      <c r="B16" s="19" t="s">
        <v>39</v>
      </c>
      <c r="C16" s="600" t="s">
        <v>40</v>
      </c>
      <c r="D16" s="600"/>
      <c r="E16" s="600"/>
      <c r="F16" s="600"/>
      <c r="G16" s="463">
        <f>'[8]Önk.A'!$F$223</f>
        <v>23378060.5</v>
      </c>
      <c r="H16" s="463">
        <f t="shared" si="0"/>
        <v>23378060.5</v>
      </c>
      <c r="I16" s="452"/>
      <c r="J16" s="189"/>
      <c r="L16" s="319"/>
      <c r="M16" s="319"/>
      <c r="N16" s="319"/>
      <c r="O16" s="361"/>
    </row>
    <row r="17" spans="1:14" ht="51">
      <c r="A17" s="359" t="s">
        <v>41</v>
      </c>
      <c r="B17" s="19" t="s">
        <v>42</v>
      </c>
      <c r="C17" s="600" t="s">
        <v>43</v>
      </c>
      <c r="D17" s="600"/>
      <c r="E17" s="600"/>
      <c r="F17" s="600"/>
      <c r="G17" s="464">
        <f>'[8]Önk.A'!$F$224</f>
        <v>932000</v>
      </c>
      <c r="H17" s="463">
        <f t="shared" si="0"/>
        <v>932000</v>
      </c>
      <c r="I17" s="453"/>
      <c r="J17" s="320"/>
      <c r="L17" s="319"/>
      <c r="M17" s="319"/>
      <c r="N17" s="319"/>
    </row>
    <row r="18" spans="1:14" ht="25.5">
      <c r="A18" s="359" t="s">
        <v>44</v>
      </c>
      <c r="B18" s="19" t="s">
        <v>45</v>
      </c>
      <c r="C18" s="593" t="s">
        <v>46</v>
      </c>
      <c r="D18" s="593"/>
      <c r="E18" s="593"/>
      <c r="F18" s="593"/>
      <c r="G18" s="463">
        <f>'[8]Önk.A'!$F$225</f>
        <v>400000</v>
      </c>
      <c r="H18" s="463">
        <f>G18</f>
        <v>400000</v>
      </c>
      <c r="I18" s="452"/>
      <c r="J18" s="189"/>
      <c r="L18" s="319"/>
      <c r="M18" s="319"/>
      <c r="N18" s="319"/>
    </row>
    <row r="19" spans="1:14" ht="12.75">
      <c r="A19" s="362" t="s">
        <v>47</v>
      </c>
      <c r="B19" s="28" t="s">
        <v>48</v>
      </c>
      <c r="C19" s="594" t="s">
        <v>49</v>
      </c>
      <c r="D19" s="594"/>
      <c r="E19" s="594"/>
      <c r="F19" s="594"/>
      <c r="G19" s="465">
        <f>SUM(G7:G18)</f>
        <v>106401619.5</v>
      </c>
      <c r="H19" s="465">
        <f>SUM(H7:H18)</f>
        <v>106401619.5</v>
      </c>
      <c r="I19" s="454"/>
      <c r="J19" s="321"/>
      <c r="L19" s="324"/>
      <c r="M19" s="319"/>
      <c r="N19" s="324"/>
    </row>
    <row r="20" spans="1:14" ht="38.25">
      <c r="A20" s="362" t="s">
        <v>50</v>
      </c>
      <c r="B20" s="28" t="s">
        <v>51</v>
      </c>
      <c r="C20" s="594" t="s">
        <v>52</v>
      </c>
      <c r="D20" s="594"/>
      <c r="E20" s="594"/>
      <c r="F20" s="594"/>
      <c r="G20" s="466">
        <f>'[8]Önk.A'!$F$226</f>
        <v>12435761.185000002</v>
      </c>
      <c r="H20" s="466">
        <f>G20</f>
        <v>12435761.185000002</v>
      </c>
      <c r="I20" s="455"/>
      <c r="J20" s="321"/>
      <c r="L20" s="319"/>
      <c r="M20" s="319"/>
      <c r="N20" s="319"/>
    </row>
    <row r="21" spans="1:14" ht="25.5">
      <c r="A21" s="359" t="s">
        <v>53</v>
      </c>
      <c r="B21" s="19" t="s">
        <v>54</v>
      </c>
      <c r="C21" s="593" t="s">
        <v>55</v>
      </c>
      <c r="D21" s="593"/>
      <c r="E21" s="593"/>
      <c r="F21" s="593"/>
      <c r="G21" s="463">
        <f>'[8]Önk.A'!$F$227</f>
        <v>220000</v>
      </c>
      <c r="H21" s="463">
        <f>G21</f>
        <v>220000</v>
      </c>
      <c r="I21" s="452"/>
      <c r="J21" s="189"/>
      <c r="L21" s="324"/>
      <c r="M21" s="319"/>
      <c r="N21" s="324"/>
    </row>
    <row r="22" spans="1:14" ht="25.5">
      <c r="A22" s="359" t="s">
        <v>56</v>
      </c>
      <c r="B22" s="19" t="s">
        <v>57</v>
      </c>
      <c r="C22" s="581" t="s">
        <v>58</v>
      </c>
      <c r="D22" s="582"/>
      <c r="E22" s="582"/>
      <c r="F22" s="583"/>
      <c r="G22" s="463">
        <f>'[8]Önk.A'!$F$228</f>
        <v>24500000</v>
      </c>
      <c r="H22" s="463">
        <f aca="true" t="shared" si="1" ref="H22:H33">G22</f>
        <v>24500000</v>
      </c>
      <c r="I22" s="452"/>
      <c r="J22" s="189"/>
      <c r="L22" s="324"/>
      <c r="M22" s="319"/>
      <c r="N22" s="324"/>
    </row>
    <row r="23" spans="1:14" ht="25.5">
      <c r="A23" s="359" t="s">
        <v>59</v>
      </c>
      <c r="B23" s="19" t="s">
        <v>60</v>
      </c>
      <c r="C23" s="593" t="s">
        <v>61</v>
      </c>
      <c r="D23" s="593"/>
      <c r="E23" s="593"/>
      <c r="F23" s="593"/>
      <c r="G23" s="463">
        <f>'[8]Önk.A'!$F$229</f>
        <v>860000</v>
      </c>
      <c r="H23" s="463">
        <f t="shared" si="1"/>
        <v>860000</v>
      </c>
      <c r="I23" s="452"/>
      <c r="J23" s="189"/>
      <c r="L23" s="319"/>
      <c r="M23" s="319"/>
      <c r="N23" s="319"/>
    </row>
    <row r="24" spans="1:14" ht="25.5">
      <c r="A24" s="359" t="s">
        <v>62</v>
      </c>
      <c r="B24" s="19" t="s">
        <v>63</v>
      </c>
      <c r="C24" s="593" t="s">
        <v>64</v>
      </c>
      <c r="D24" s="593"/>
      <c r="E24" s="593"/>
      <c r="F24" s="593"/>
      <c r="G24" s="463">
        <f>'[8]Önk.A'!$F$230</f>
        <v>1130000</v>
      </c>
      <c r="H24" s="463">
        <f t="shared" si="1"/>
        <v>1130000</v>
      </c>
      <c r="I24" s="452"/>
      <c r="J24" s="189"/>
      <c r="L24" s="319"/>
      <c r="M24" s="319"/>
      <c r="N24" s="319"/>
    </row>
    <row r="25" spans="1:14" ht="12.75">
      <c r="A25" s="359" t="s">
        <v>65</v>
      </c>
      <c r="B25" s="19" t="s">
        <v>66</v>
      </c>
      <c r="C25" s="593" t="s">
        <v>67</v>
      </c>
      <c r="D25" s="593"/>
      <c r="E25" s="593"/>
      <c r="F25" s="593"/>
      <c r="G25" s="463">
        <f>'[8]Önk.A'!$F$231</f>
        <v>16470000</v>
      </c>
      <c r="H25" s="463">
        <f t="shared" si="1"/>
        <v>16470000</v>
      </c>
      <c r="I25" s="452"/>
      <c r="J25" s="189"/>
      <c r="L25" s="319"/>
      <c r="M25" s="254"/>
      <c r="N25" s="319"/>
    </row>
    <row r="26" spans="1:14" ht="25.5">
      <c r="A26" s="359" t="s">
        <v>68</v>
      </c>
      <c r="B26" s="19" t="s">
        <v>69</v>
      </c>
      <c r="C26" s="593" t="s">
        <v>70</v>
      </c>
      <c r="D26" s="593"/>
      <c r="E26" s="593"/>
      <c r="F26" s="593"/>
      <c r="G26" s="463">
        <f>'[8]Önk.A'!$F$232</f>
        <v>1050000</v>
      </c>
      <c r="H26" s="463">
        <f t="shared" si="1"/>
        <v>1050000</v>
      </c>
      <c r="I26" s="452"/>
      <c r="J26" s="189"/>
      <c r="L26" s="319"/>
      <c r="M26" s="253"/>
      <c r="N26" s="319"/>
    </row>
    <row r="27" spans="1:14" ht="12.75">
      <c r="A27" s="359" t="s">
        <v>71</v>
      </c>
      <c r="B27" s="19" t="s">
        <v>72</v>
      </c>
      <c r="C27" s="581" t="s">
        <v>73</v>
      </c>
      <c r="D27" s="582"/>
      <c r="E27" s="582"/>
      <c r="F27" s="583"/>
      <c r="G27" s="463">
        <f>'[6]Önk.j'!$F$234</f>
        <v>1200000</v>
      </c>
      <c r="H27" s="463">
        <f t="shared" si="1"/>
        <v>1200000</v>
      </c>
      <c r="I27" s="452"/>
      <c r="J27" s="189"/>
      <c r="L27" s="319"/>
      <c r="M27" s="253"/>
      <c r="N27" s="319"/>
    </row>
    <row r="28" spans="1:10" ht="25.5">
      <c r="A28" s="359" t="s">
        <v>74</v>
      </c>
      <c r="B28" s="19" t="s">
        <v>75</v>
      </c>
      <c r="C28" s="593" t="s">
        <v>76</v>
      </c>
      <c r="D28" s="593"/>
      <c r="E28" s="593"/>
      <c r="F28" s="593"/>
      <c r="G28" s="463">
        <f>'[8]Önk.A'!$F$233</f>
        <v>26985000</v>
      </c>
      <c r="H28" s="463">
        <f t="shared" si="1"/>
        <v>26985000</v>
      </c>
      <c r="I28" s="452"/>
      <c r="J28" s="189"/>
    </row>
    <row r="29" spans="1:10" ht="12.75">
      <c r="A29" s="359" t="s">
        <v>77</v>
      </c>
      <c r="B29" s="19" t="s">
        <v>78</v>
      </c>
      <c r="C29" s="593" t="s">
        <v>79</v>
      </c>
      <c r="D29" s="593"/>
      <c r="E29" s="593"/>
      <c r="F29" s="593"/>
      <c r="G29" s="463">
        <f>'[8]Önk.A'!$F$234</f>
        <v>25400000</v>
      </c>
      <c r="H29" s="463">
        <f t="shared" si="1"/>
        <v>25400000</v>
      </c>
      <c r="I29" s="452"/>
      <c r="J29" s="189"/>
    </row>
    <row r="30" spans="1:10" ht="12.75">
      <c r="A30" s="359" t="s">
        <v>80</v>
      </c>
      <c r="B30" s="19" t="s">
        <v>81</v>
      </c>
      <c r="C30" s="581" t="s">
        <v>82</v>
      </c>
      <c r="D30" s="582"/>
      <c r="E30" s="582"/>
      <c r="F30" s="583"/>
      <c r="G30" s="463">
        <v>0</v>
      </c>
      <c r="H30" s="463">
        <f t="shared" si="1"/>
        <v>0</v>
      </c>
      <c r="I30" s="452"/>
      <c r="J30" s="189"/>
    </row>
    <row r="31" spans="1:10" ht="38.25">
      <c r="A31" s="359" t="s">
        <v>83</v>
      </c>
      <c r="B31" s="19" t="s">
        <v>84</v>
      </c>
      <c r="C31" s="593" t="s">
        <v>85</v>
      </c>
      <c r="D31" s="593"/>
      <c r="E31" s="593"/>
      <c r="F31" s="593"/>
      <c r="G31" s="463">
        <f>'[8]Önk.A'!$F$235</f>
        <v>22495050</v>
      </c>
      <c r="H31" s="463">
        <f t="shared" si="1"/>
        <v>22495050</v>
      </c>
      <c r="I31" s="452"/>
      <c r="J31" s="189"/>
    </row>
    <row r="32" spans="1:10" ht="12.75">
      <c r="A32" s="359" t="s">
        <v>86</v>
      </c>
      <c r="B32" s="19" t="s">
        <v>438</v>
      </c>
      <c r="C32" s="581" t="s">
        <v>437</v>
      </c>
      <c r="D32" s="582"/>
      <c r="E32" s="582"/>
      <c r="F32" s="583"/>
      <c r="G32" s="463">
        <v>100000</v>
      </c>
      <c r="H32" s="463">
        <f>G32</f>
        <v>100000</v>
      </c>
      <c r="I32" s="452"/>
      <c r="J32" s="189"/>
    </row>
    <row r="33" spans="1:10" ht="25.5">
      <c r="A33" s="359" t="s">
        <v>89</v>
      </c>
      <c r="B33" s="19" t="s">
        <v>87</v>
      </c>
      <c r="C33" s="593" t="s">
        <v>88</v>
      </c>
      <c r="D33" s="593"/>
      <c r="E33" s="593"/>
      <c r="F33" s="593"/>
      <c r="G33" s="464">
        <v>2000000</v>
      </c>
      <c r="H33" s="463">
        <f t="shared" si="1"/>
        <v>2000000</v>
      </c>
      <c r="I33" s="452"/>
      <c r="J33" s="189"/>
    </row>
    <row r="34" spans="1:10" ht="12.75">
      <c r="A34" s="362" t="s">
        <v>92</v>
      </c>
      <c r="B34" s="28" t="s">
        <v>90</v>
      </c>
      <c r="C34" s="594" t="s">
        <v>91</v>
      </c>
      <c r="D34" s="594"/>
      <c r="E34" s="594"/>
      <c r="F34" s="594"/>
      <c r="G34" s="466">
        <f>SUM(G21:G33)</f>
        <v>122410050</v>
      </c>
      <c r="H34" s="466">
        <f>SUM(H21:H33)</f>
        <v>122410050</v>
      </c>
      <c r="I34" s="466">
        <f>SUM(I21:I33)</f>
        <v>0</v>
      </c>
      <c r="J34" s="18">
        <f>SUM(J21:J33)</f>
        <v>0</v>
      </c>
    </row>
    <row r="35" spans="1:10" ht="25.5">
      <c r="A35" s="359" t="s">
        <v>95</v>
      </c>
      <c r="B35" s="19" t="s">
        <v>93</v>
      </c>
      <c r="C35" s="581" t="s">
        <v>94</v>
      </c>
      <c r="D35" s="582"/>
      <c r="E35" s="582"/>
      <c r="F35" s="583"/>
      <c r="G35" s="464">
        <v>0</v>
      </c>
      <c r="H35" s="464"/>
      <c r="I35" s="452"/>
      <c r="J35" s="189"/>
    </row>
    <row r="36" spans="1:10" ht="25.5">
      <c r="A36" s="359" t="s">
        <v>98</v>
      </c>
      <c r="B36" s="19" t="s">
        <v>96</v>
      </c>
      <c r="C36" s="581" t="s">
        <v>97</v>
      </c>
      <c r="D36" s="582"/>
      <c r="E36" s="582"/>
      <c r="F36" s="583"/>
      <c r="G36" s="464">
        <v>12000000</v>
      </c>
      <c r="H36" s="464">
        <f>G36</f>
        <v>12000000</v>
      </c>
      <c r="I36" s="452"/>
      <c r="J36" s="189"/>
    </row>
    <row r="37" spans="1:10" ht="25.5">
      <c r="A37" s="362" t="s">
        <v>101</v>
      </c>
      <c r="B37" s="28" t="s">
        <v>99</v>
      </c>
      <c r="C37" s="584" t="s">
        <v>100</v>
      </c>
      <c r="D37" s="585"/>
      <c r="E37" s="585"/>
      <c r="F37" s="586"/>
      <c r="G37" s="466">
        <f>SUM(G35:G36)</f>
        <v>12000000</v>
      </c>
      <c r="H37" s="466">
        <f>SUM(H36)</f>
        <v>12000000</v>
      </c>
      <c r="I37" s="466">
        <f>SUM(I36)</f>
        <v>0</v>
      </c>
      <c r="J37" s="18">
        <f>SUM(J36)</f>
        <v>0</v>
      </c>
    </row>
    <row r="38" spans="1:10" ht="38.25">
      <c r="A38" s="359" t="s">
        <v>104</v>
      </c>
      <c r="B38" s="19" t="s">
        <v>102</v>
      </c>
      <c r="C38" s="581" t="s">
        <v>103</v>
      </c>
      <c r="D38" s="582"/>
      <c r="E38" s="582"/>
      <c r="F38" s="583"/>
      <c r="G38" s="464">
        <v>1650000</v>
      </c>
      <c r="H38" s="464">
        <v>0</v>
      </c>
      <c r="I38" s="464">
        <f aca="true" t="shared" si="2" ref="I38:I45">G38</f>
        <v>1650000</v>
      </c>
      <c r="J38" s="189"/>
    </row>
    <row r="39" spans="1:10" ht="38.25">
      <c r="A39" s="359" t="s">
        <v>107</v>
      </c>
      <c r="B39" s="19" t="s">
        <v>105</v>
      </c>
      <c r="C39" s="581" t="s">
        <v>106</v>
      </c>
      <c r="D39" s="582"/>
      <c r="E39" s="582"/>
      <c r="F39" s="583"/>
      <c r="G39" s="464">
        <v>26000000</v>
      </c>
      <c r="H39" s="464">
        <v>0</v>
      </c>
      <c r="I39" s="464">
        <f t="shared" si="2"/>
        <v>26000000</v>
      </c>
      <c r="J39" s="189"/>
    </row>
    <row r="40" spans="1:12" ht="12.75">
      <c r="A40" s="359" t="s">
        <v>110</v>
      </c>
      <c r="B40" s="19" t="s">
        <v>108</v>
      </c>
      <c r="C40" s="581" t="s">
        <v>109</v>
      </c>
      <c r="D40" s="582"/>
      <c r="E40" s="582"/>
      <c r="F40" s="583"/>
      <c r="G40" s="464">
        <v>88230575</v>
      </c>
      <c r="H40" s="464">
        <v>0</v>
      </c>
      <c r="I40" s="464">
        <f t="shared" si="2"/>
        <v>88230575</v>
      </c>
      <c r="J40" s="189"/>
      <c r="L40" s="363"/>
    </row>
    <row r="41" spans="1:10" ht="25.5">
      <c r="A41" s="362" t="s">
        <v>113</v>
      </c>
      <c r="B41" s="364" t="s">
        <v>111</v>
      </c>
      <c r="C41" s="584" t="s">
        <v>112</v>
      </c>
      <c r="D41" s="585"/>
      <c r="E41" s="585"/>
      <c r="F41" s="586"/>
      <c r="G41" s="466">
        <f>SUM(G38:G40)</f>
        <v>115880575</v>
      </c>
      <c r="H41" s="466"/>
      <c r="I41" s="466">
        <f t="shared" si="2"/>
        <v>115880575</v>
      </c>
      <c r="J41" s="18"/>
    </row>
    <row r="42" spans="1:10" ht="25.5">
      <c r="A42" s="359" t="s">
        <v>116</v>
      </c>
      <c r="B42" s="365" t="s">
        <v>114</v>
      </c>
      <c r="C42" s="581" t="s">
        <v>115</v>
      </c>
      <c r="D42" s="582"/>
      <c r="E42" s="582"/>
      <c r="F42" s="583"/>
      <c r="G42" s="464">
        <f>'[8]Beruházás'!$E$48+15000000+2286000</f>
        <v>72956636</v>
      </c>
      <c r="H42" s="464"/>
      <c r="I42" s="464">
        <f>G42</f>
        <v>72956636</v>
      </c>
      <c r="J42" s="45"/>
    </row>
    <row r="43" spans="1:10" ht="25.5">
      <c r="A43" s="359" t="s">
        <v>119</v>
      </c>
      <c r="B43" s="365" t="s">
        <v>235</v>
      </c>
      <c r="C43" s="590" t="s">
        <v>236</v>
      </c>
      <c r="D43" s="591"/>
      <c r="E43" s="591"/>
      <c r="F43" s="592"/>
      <c r="G43" s="467">
        <f>0</f>
        <v>0</v>
      </c>
      <c r="H43" s="467">
        <v>0</v>
      </c>
      <c r="I43" s="456">
        <f t="shared" si="2"/>
        <v>0</v>
      </c>
      <c r="J43" s="189"/>
    </row>
    <row r="44" spans="1:12" ht="25.5">
      <c r="A44" s="359" t="s">
        <v>122</v>
      </c>
      <c r="B44" s="19" t="s">
        <v>117</v>
      </c>
      <c r="C44" s="581" t="s">
        <v>118</v>
      </c>
      <c r="D44" s="582"/>
      <c r="E44" s="582"/>
      <c r="F44" s="583"/>
      <c r="G44" s="464">
        <f>'[8]Beruházás'!$E$49</f>
        <v>22275210.787401576</v>
      </c>
      <c r="H44" s="464">
        <v>0</v>
      </c>
      <c r="I44" s="456">
        <f t="shared" si="2"/>
        <v>22275210.787401576</v>
      </c>
      <c r="J44" s="189"/>
      <c r="L44" s="363"/>
    </row>
    <row r="45" spans="1:10" ht="38.25">
      <c r="A45" s="359" t="s">
        <v>125</v>
      </c>
      <c r="B45" s="19" t="s">
        <v>120</v>
      </c>
      <c r="C45" s="581" t="s">
        <v>121</v>
      </c>
      <c r="D45" s="582"/>
      <c r="E45" s="582"/>
      <c r="F45" s="583"/>
      <c r="G45" s="464">
        <f>'[8]Beruházás'!$E$50</f>
        <v>48091206.68661417</v>
      </c>
      <c r="H45" s="464">
        <v>0</v>
      </c>
      <c r="I45" s="456">
        <f t="shared" si="2"/>
        <v>48091206.68661417</v>
      </c>
      <c r="J45" s="189"/>
    </row>
    <row r="46" spans="1:12" ht="12.75">
      <c r="A46" s="366" t="s">
        <v>128</v>
      </c>
      <c r="B46" s="28" t="s">
        <v>123</v>
      </c>
      <c r="C46" s="584" t="s">
        <v>124</v>
      </c>
      <c r="D46" s="585"/>
      <c r="E46" s="585"/>
      <c r="F46" s="586"/>
      <c r="G46" s="466">
        <f>SUM(G42:G45)</f>
        <v>143323053.47401574</v>
      </c>
      <c r="H46" s="466">
        <f>SUM(H43:H45)</f>
        <v>0</v>
      </c>
      <c r="I46" s="466">
        <f>SUM(I42:I45)</f>
        <v>143323053.47401574</v>
      </c>
      <c r="J46" s="18"/>
      <c r="L46" s="363"/>
    </row>
    <row r="47" spans="1:10" ht="12.75">
      <c r="A47" s="359" t="s">
        <v>131</v>
      </c>
      <c r="B47" s="19" t="s">
        <v>126</v>
      </c>
      <c r="C47" s="581" t="s">
        <v>127</v>
      </c>
      <c r="D47" s="582"/>
      <c r="E47" s="582"/>
      <c r="F47" s="583"/>
      <c r="G47" s="464">
        <f>'[8]Beruházás'!$E$51+2785000</f>
        <v>13573318.478065241</v>
      </c>
      <c r="H47" s="464"/>
      <c r="I47" s="456">
        <f>G47</f>
        <v>13573318.478065241</v>
      </c>
      <c r="J47" s="189"/>
    </row>
    <row r="48" spans="1:10" ht="38.25">
      <c r="A48" s="359" t="s">
        <v>134</v>
      </c>
      <c r="B48" s="19" t="s">
        <v>129</v>
      </c>
      <c r="C48" s="581" t="s">
        <v>130</v>
      </c>
      <c r="D48" s="582"/>
      <c r="E48" s="582"/>
      <c r="F48" s="583"/>
      <c r="G48" s="464">
        <f>'[8]Beruházás'!$E$52</f>
        <v>2912845.9890776156</v>
      </c>
      <c r="H48" s="464"/>
      <c r="I48" s="456">
        <f>G48</f>
        <v>2912845.9890776156</v>
      </c>
      <c r="J48" s="189"/>
    </row>
    <row r="49" spans="1:12" ht="12.75">
      <c r="A49" s="366" t="s">
        <v>137</v>
      </c>
      <c r="B49" s="28" t="s">
        <v>132</v>
      </c>
      <c r="C49" s="584" t="s">
        <v>133</v>
      </c>
      <c r="D49" s="585"/>
      <c r="E49" s="585"/>
      <c r="F49" s="586"/>
      <c r="G49" s="466">
        <f>SUM(G47:G48)</f>
        <v>16486164.467142858</v>
      </c>
      <c r="H49" s="466">
        <f>SUM(H47:H48)</f>
        <v>0</v>
      </c>
      <c r="I49" s="466">
        <f>SUM(I47:I48)</f>
        <v>16486164.467142858</v>
      </c>
      <c r="J49" s="18">
        <f>SUM(J47:J48)</f>
        <v>0</v>
      </c>
      <c r="L49" s="363"/>
    </row>
    <row r="50" spans="1:10" ht="51">
      <c r="A50" s="359" t="s">
        <v>140</v>
      </c>
      <c r="B50" s="19" t="s">
        <v>135</v>
      </c>
      <c r="C50" s="581" t="s">
        <v>136</v>
      </c>
      <c r="D50" s="582"/>
      <c r="E50" s="582"/>
      <c r="F50" s="583"/>
      <c r="G50" s="464">
        <f>'[1]Támogatás'!$D$52</f>
        <v>6000000</v>
      </c>
      <c r="H50" s="464">
        <f>G50</f>
        <v>6000000</v>
      </c>
      <c r="I50" s="452"/>
      <c r="J50" s="189"/>
    </row>
    <row r="51" spans="1:10" ht="25.5">
      <c r="A51" s="366" t="s">
        <v>147</v>
      </c>
      <c r="B51" s="28" t="s">
        <v>138</v>
      </c>
      <c r="C51" s="584" t="s">
        <v>139</v>
      </c>
      <c r="D51" s="585"/>
      <c r="E51" s="585"/>
      <c r="F51" s="586"/>
      <c r="G51" s="466">
        <f>SUM(G50)</f>
        <v>6000000</v>
      </c>
      <c r="H51" s="466">
        <f>SUM(H50)</f>
        <v>6000000</v>
      </c>
      <c r="I51" s="466">
        <f>SUM(I50)</f>
        <v>0</v>
      </c>
      <c r="J51" s="18">
        <f>SUM(J50)</f>
        <v>0</v>
      </c>
    </row>
    <row r="52" spans="1:10" ht="12.75">
      <c r="A52" s="366" t="s">
        <v>150</v>
      </c>
      <c r="B52" s="28" t="s">
        <v>141</v>
      </c>
      <c r="C52" s="594" t="s">
        <v>142</v>
      </c>
      <c r="D52" s="594"/>
      <c r="E52" s="594"/>
      <c r="F52" s="594"/>
      <c r="G52" s="466">
        <f>G19+G20+G34+G37+G41+G46+G49+G51</f>
        <v>534937223.62615865</v>
      </c>
      <c r="H52" s="466">
        <f>H19+H20+H34+H37+H41+H46+H49+H51</f>
        <v>259247430.685</v>
      </c>
      <c r="I52" s="466">
        <f>I19+I20+I34+I37+I41+I46+I49+I51</f>
        <v>275689792.9411586</v>
      </c>
      <c r="J52" s="18">
        <f>J19+J20+J34+J37+J41+J46+J49+J51</f>
        <v>0</v>
      </c>
    </row>
    <row r="53" spans="1:10" ht="12.75">
      <c r="A53" s="367"/>
      <c r="B53" s="319"/>
      <c r="C53" s="319"/>
      <c r="D53" s="319"/>
      <c r="E53" s="319"/>
      <c r="F53" s="319"/>
      <c r="G53" s="451"/>
      <c r="H53" s="451"/>
      <c r="I53" s="451"/>
      <c r="J53" s="319"/>
    </row>
    <row r="54" spans="1:10" ht="12.75">
      <c r="A54" s="601" t="s">
        <v>143</v>
      </c>
      <c r="B54" s="601"/>
      <c r="C54" s="601"/>
      <c r="D54" s="601"/>
      <c r="E54" s="601"/>
      <c r="F54" s="601"/>
      <c r="G54" s="601"/>
      <c r="H54" s="601"/>
      <c r="I54" s="457"/>
      <c r="J54" s="324"/>
    </row>
    <row r="55" spans="1:12" ht="12.75">
      <c r="A55" s="598" t="s">
        <v>3</v>
      </c>
      <c r="B55" s="599" t="s">
        <v>4</v>
      </c>
      <c r="C55" s="546" t="s">
        <v>5</v>
      </c>
      <c r="D55" s="546"/>
      <c r="E55" s="546"/>
      <c r="F55" s="546"/>
      <c r="G55" s="575" t="s">
        <v>144</v>
      </c>
      <c r="H55" s="468"/>
      <c r="I55" s="451"/>
      <c r="J55" s="319"/>
      <c r="L55" s="363"/>
    </row>
    <row r="56" spans="1:10" ht="12.75">
      <c r="A56" s="598"/>
      <c r="B56" s="599"/>
      <c r="C56" s="546"/>
      <c r="D56" s="546"/>
      <c r="E56" s="546"/>
      <c r="F56" s="546"/>
      <c r="G56" s="575"/>
      <c r="H56" s="435"/>
      <c r="I56" s="451"/>
      <c r="J56" s="319"/>
    </row>
    <row r="57" spans="1:11" ht="38.25">
      <c r="A57" s="359" t="s">
        <v>439</v>
      </c>
      <c r="B57" s="19" t="s">
        <v>145</v>
      </c>
      <c r="C57" s="593" t="s">
        <v>146</v>
      </c>
      <c r="D57" s="593"/>
      <c r="E57" s="593"/>
      <c r="F57" s="593"/>
      <c r="G57" s="463">
        <v>17096991</v>
      </c>
      <c r="H57" s="463">
        <v>17096991</v>
      </c>
      <c r="I57" s="457"/>
      <c r="J57" s="324"/>
      <c r="K57" s="363"/>
    </row>
    <row r="58" spans="1:10" ht="25.5">
      <c r="A58" s="359" t="s">
        <v>440</v>
      </c>
      <c r="B58" s="19" t="s">
        <v>148</v>
      </c>
      <c r="C58" s="593" t="s">
        <v>149</v>
      </c>
      <c r="D58" s="593"/>
      <c r="E58" s="593"/>
      <c r="F58" s="593"/>
      <c r="G58" s="463">
        <f>'Hivatal bevétel'!G43+'Óvoda bev.'!G43+'Könyvtár bev.'!G43</f>
        <v>393427408.05</v>
      </c>
      <c r="H58" s="463">
        <f>G58</f>
        <v>393427408.05</v>
      </c>
      <c r="I58" s="458"/>
      <c r="J58" s="324"/>
    </row>
    <row r="59" spans="1:10" ht="12.75">
      <c r="A59" s="362" t="s">
        <v>441</v>
      </c>
      <c r="B59" s="28" t="s">
        <v>151</v>
      </c>
      <c r="C59" s="594" t="s">
        <v>152</v>
      </c>
      <c r="D59" s="594"/>
      <c r="E59" s="594"/>
      <c r="F59" s="594"/>
      <c r="G59" s="466">
        <f>SUM(G57:G58)</f>
        <v>410524399.05</v>
      </c>
      <c r="H59" s="466">
        <f>SUM(H57:H58)</f>
        <v>410524399.05</v>
      </c>
      <c r="I59" s="457"/>
      <c r="J59" s="324"/>
    </row>
    <row r="60" spans="1:10" ht="12.75">
      <c r="A60" s="368"/>
      <c r="B60" s="319"/>
      <c r="C60" s="319"/>
      <c r="D60" s="319"/>
      <c r="E60" s="319"/>
      <c r="F60" s="319"/>
      <c r="G60" s="451"/>
      <c r="H60" s="451"/>
      <c r="I60" s="451"/>
      <c r="J60" s="319"/>
    </row>
    <row r="61" spans="1:10" ht="12.75">
      <c r="A61" s="369"/>
      <c r="B61" s="36" t="s">
        <v>153</v>
      </c>
      <c r="C61" s="585"/>
      <c r="D61" s="585"/>
      <c r="E61" s="585"/>
      <c r="F61" s="585"/>
      <c r="G61" s="469">
        <f>G52+G59</f>
        <v>945461622.6761587</v>
      </c>
      <c r="H61" s="469"/>
      <c r="I61" s="459"/>
      <c r="J61" s="319"/>
    </row>
    <row r="62" ht="12.75"/>
    <row r="63" ht="12.75"/>
  </sheetData>
  <sheetProtection/>
  <mergeCells count="63">
    <mergeCell ref="C57:F57"/>
    <mergeCell ref="C58:F58"/>
    <mergeCell ref="C36:F36"/>
    <mergeCell ref="C37:F37"/>
    <mergeCell ref="C38:F38"/>
    <mergeCell ref="C39:F39"/>
    <mergeCell ref="C50:F50"/>
    <mergeCell ref="C51:F51"/>
    <mergeCell ref="C44:F44"/>
    <mergeCell ref="C45:F45"/>
    <mergeCell ref="C29:F29"/>
    <mergeCell ref="C31:F31"/>
    <mergeCell ref="C59:F59"/>
    <mergeCell ref="C61:F61"/>
    <mergeCell ref="C52:F52"/>
    <mergeCell ref="A54:H54"/>
    <mergeCell ref="A55:A56"/>
    <mergeCell ref="B55:B56"/>
    <mergeCell ref="C55:F56"/>
    <mergeCell ref="G55:G56"/>
    <mergeCell ref="C11:F11"/>
    <mergeCell ref="C13:F13"/>
    <mergeCell ref="C16:F16"/>
    <mergeCell ref="C17:F17"/>
    <mergeCell ref="C18:F18"/>
    <mergeCell ref="C8:F8"/>
    <mergeCell ref="C9:F9"/>
    <mergeCell ref="C10:F10"/>
    <mergeCell ref="C12:F12"/>
    <mergeCell ref="C26:F26"/>
    <mergeCell ref="C28:F28"/>
    <mergeCell ref="A3:H3"/>
    <mergeCell ref="A4:H4"/>
    <mergeCell ref="A5:A6"/>
    <mergeCell ref="B5:B6"/>
    <mergeCell ref="C5:F6"/>
    <mergeCell ref="G5:G6"/>
    <mergeCell ref="H5:J5"/>
    <mergeCell ref="C7:F7"/>
    <mergeCell ref="C19:F19"/>
    <mergeCell ref="C20:F20"/>
    <mergeCell ref="C21:F21"/>
    <mergeCell ref="C23:F23"/>
    <mergeCell ref="C24:F24"/>
    <mergeCell ref="C25:F25"/>
    <mergeCell ref="C47:F47"/>
    <mergeCell ref="C48:F48"/>
    <mergeCell ref="C30:F30"/>
    <mergeCell ref="C35:F35"/>
    <mergeCell ref="C33:F33"/>
    <mergeCell ref="C34:F34"/>
    <mergeCell ref="C42:F42"/>
    <mergeCell ref="C32:F32"/>
    <mergeCell ref="A1:J1"/>
    <mergeCell ref="C40:F40"/>
    <mergeCell ref="C41:F41"/>
    <mergeCell ref="C49:F49"/>
    <mergeCell ref="C14:F14"/>
    <mergeCell ref="C15:F15"/>
    <mergeCell ref="C22:F22"/>
    <mergeCell ref="C27:F27"/>
    <mergeCell ref="C43:F43"/>
    <mergeCell ref="C46:F46"/>
  </mergeCells>
  <printOptions/>
  <pageMargins left="0.7" right="0.7" top="0.75" bottom="0.75" header="0.3" footer="0.3"/>
  <pageSetup horizontalDpi="600" verticalDpi="600" orientation="portrait" paperSize="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31">
      <selection activeCell="I46" sqref="I46"/>
    </sheetView>
  </sheetViews>
  <sheetFormatPr defaultColWidth="9.140625" defaultRowHeight="15"/>
  <cols>
    <col min="2" max="2" width="34.140625" style="0" customWidth="1"/>
    <col min="7" max="7" width="15.8515625" style="0" bestFit="1" customWidth="1"/>
    <col min="8" max="8" width="11.421875" style="0" customWidth="1"/>
    <col min="9" max="9" width="12.57421875" style="0" customWidth="1"/>
    <col min="11" max="11" width="9.57421875" style="0" bestFit="1" customWidth="1"/>
    <col min="12" max="12" width="12.421875" style="0" bestFit="1" customWidth="1"/>
    <col min="13" max="13" width="12.8515625" style="0" customWidth="1"/>
    <col min="14" max="14" width="14.28125" style="0" customWidth="1"/>
    <col min="15" max="15" width="12.140625" style="0" customWidth="1"/>
  </cols>
  <sheetData>
    <row r="1" spans="1:10" ht="15">
      <c r="A1" s="549" t="s">
        <v>226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572" t="s">
        <v>227</v>
      </c>
      <c r="B3" s="572"/>
      <c r="C3" s="572"/>
      <c r="D3" s="572"/>
      <c r="E3" s="572"/>
      <c r="F3" s="572"/>
      <c r="G3" s="572"/>
      <c r="H3" s="572"/>
      <c r="I3" s="572"/>
      <c r="J3" s="572"/>
    </row>
    <row r="4" spans="1:10" ht="15">
      <c r="A4" s="573" t="s">
        <v>155</v>
      </c>
      <c r="B4" s="574"/>
      <c r="C4" s="574"/>
      <c r="D4" s="574"/>
      <c r="E4" s="574"/>
      <c r="F4" s="574"/>
      <c r="G4" s="574"/>
      <c r="H4" s="574"/>
      <c r="I4" s="574"/>
      <c r="J4" s="574"/>
    </row>
    <row r="5" spans="1:20" ht="15">
      <c r="A5" s="537" t="s">
        <v>3</v>
      </c>
      <c r="B5" s="538" t="s">
        <v>4</v>
      </c>
      <c r="C5" s="539" t="s">
        <v>5</v>
      </c>
      <c r="D5" s="539"/>
      <c r="E5" s="539"/>
      <c r="F5" s="539"/>
      <c r="G5" s="546" t="s">
        <v>144</v>
      </c>
      <c r="H5" s="553" t="s">
        <v>7</v>
      </c>
      <c r="I5" s="554"/>
      <c r="J5" s="555"/>
      <c r="L5" s="381"/>
      <c r="M5" s="382"/>
      <c r="N5" s="382"/>
      <c r="O5" s="383"/>
      <c r="P5" s="383"/>
      <c r="Q5" s="383"/>
      <c r="R5" s="383"/>
      <c r="S5" s="384"/>
      <c r="T5" s="384"/>
    </row>
    <row r="6" spans="1:20" ht="25.5">
      <c r="A6" s="537"/>
      <c r="B6" s="538"/>
      <c r="C6" s="539"/>
      <c r="D6" s="539"/>
      <c r="E6" s="539"/>
      <c r="F6" s="539"/>
      <c r="G6" s="546"/>
      <c r="H6" s="4" t="s">
        <v>8</v>
      </c>
      <c r="I6" s="4" t="s">
        <v>9</v>
      </c>
      <c r="J6" s="4" t="s">
        <v>10</v>
      </c>
      <c r="L6" s="382"/>
      <c r="M6" s="382"/>
      <c r="N6" s="382"/>
      <c r="O6" s="383"/>
      <c r="P6" s="383"/>
      <c r="Q6" s="383"/>
      <c r="R6" s="383"/>
      <c r="S6" s="384"/>
      <c r="T6" s="384"/>
    </row>
    <row r="7" spans="1:20" ht="25.5">
      <c r="A7" s="5" t="s">
        <v>11</v>
      </c>
      <c r="B7" s="6" t="s">
        <v>156</v>
      </c>
      <c r="C7" s="543" t="s">
        <v>157</v>
      </c>
      <c r="D7" s="543"/>
      <c r="E7" s="543"/>
      <c r="F7" s="543"/>
      <c r="G7" s="8"/>
      <c r="H7" s="9"/>
      <c r="I7" s="9"/>
      <c r="J7" s="9"/>
      <c r="L7" s="382"/>
      <c r="M7" s="382"/>
      <c r="N7" s="382"/>
      <c r="O7" s="383"/>
      <c r="P7" s="383"/>
      <c r="Q7" s="383"/>
      <c r="R7" s="383"/>
      <c r="S7" s="384"/>
      <c r="T7" s="384"/>
    </row>
    <row r="8" spans="1:20" ht="25.5">
      <c r="A8" s="5" t="s">
        <v>14</v>
      </c>
      <c r="B8" s="10" t="s">
        <v>158</v>
      </c>
      <c r="C8" s="543" t="s">
        <v>159</v>
      </c>
      <c r="D8" s="543"/>
      <c r="E8" s="543"/>
      <c r="F8" s="543"/>
      <c r="G8" s="8"/>
      <c r="H8" s="9"/>
      <c r="I8" s="9"/>
      <c r="J8" s="9"/>
      <c r="L8" s="382"/>
      <c r="M8" s="382"/>
      <c r="N8" s="382"/>
      <c r="O8" s="383"/>
      <c r="P8" s="383"/>
      <c r="Q8" s="383"/>
      <c r="R8" s="383"/>
      <c r="S8" s="384"/>
      <c r="T8" s="384"/>
    </row>
    <row r="9" spans="1:20" ht="38.25">
      <c r="A9" s="5" t="s">
        <v>17</v>
      </c>
      <c r="B9" s="10" t="s">
        <v>160</v>
      </c>
      <c r="C9" s="543" t="s">
        <v>161</v>
      </c>
      <c r="D9" s="543"/>
      <c r="E9" s="543"/>
      <c r="F9" s="543"/>
      <c r="G9" s="8"/>
      <c r="H9" s="9"/>
      <c r="I9" s="9"/>
      <c r="J9" s="9"/>
      <c r="L9" s="382"/>
      <c r="M9" s="382"/>
      <c r="N9" s="385"/>
      <c r="O9" s="385"/>
      <c r="P9" s="383"/>
      <c r="Q9" s="383"/>
      <c r="R9" s="383"/>
      <c r="S9" s="384"/>
      <c r="T9" s="384"/>
    </row>
    <row r="10" spans="1:20" ht="25.5">
      <c r="A10" s="5" t="s">
        <v>20</v>
      </c>
      <c r="B10" s="10" t="s">
        <v>162</v>
      </c>
      <c r="C10" s="540" t="s">
        <v>163</v>
      </c>
      <c r="D10" s="541"/>
      <c r="E10" s="541"/>
      <c r="F10" s="542"/>
      <c r="G10" s="8"/>
      <c r="H10" s="9"/>
      <c r="I10" s="9"/>
      <c r="J10" s="9"/>
      <c r="L10" s="382"/>
      <c r="M10" s="386"/>
      <c r="N10" s="386"/>
      <c r="O10" s="386"/>
      <c r="P10" s="383"/>
      <c r="Q10" s="383"/>
      <c r="R10" s="383"/>
      <c r="S10" s="384"/>
      <c r="T10" s="384"/>
    </row>
    <row r="11" spans="1:20" ht="38.25">
      <c r="A11" s="5" t="s">
        <v>23</v>
      </c>
      <c r="B11" s="10" t="s">
        <v>164</v>
      </c>
      <c r="C11" s="540" t="s">
        <v>165</v>
      </c>
      <c r="D11" s="541"/>
      <c r="E11" s="541"/>
      <c r="F11" s="542"/>
      <c r="G11" s="8"/>
      <c r="H11" s="9"/>
      <c r="I11" s="9"/>
      <c r="J11" s="9"/>
      <c r="L11" s="382"/>
      <c r="M11" s="382"/>
      <c r="N11" s="382"/>
      <c r="O11" s="382"/>
      <c r="P11" s="383"/>
      <c r="Q11" s="383"/>
      <c r="R11" s="383"/>
      <c r="S11" s="384"/>
      <c r="T11" s="384"/>
    </row>
    <row r="12" spans="1:20" ht="25.5">
      <c r="A12" s="5" t="s">
        <v>26</v>
      </c>
      <c r="B12" s="10" t="s">
        <v>166</v>
      </c>
      <c r="C12" s="543" t="s">
        <v>167</v>
      </c>
      <c r="D12" s="543"/>
      <c r="E12" s="543"/>
      <c r="F12" s="543"/>
      <c r="G12" s="8"/>
      <c r="H12" s="9"/>
      <c r="I12" s="9"/>
      <c r="J12" s="9"/>
      <c r="L12" s="382"/>
      <c r="M12" s="382"/>
      <c r="N12" s="382"/>
      <c r="O12" s="383"/>
      <c r="P12" s="383"/>
      <c r="Q12" s="383"/>
      <c r="R12" s="383"/>
      <c r="S12" s="384"/>
      <c r="T12" s="384"/>
    </row>
    <row r="13" spans="1:20" ht="15">
      <c r="A13" s="5" t="s">
        <v>29</v>
      </c>
      <c r="B13" s="10" t="s">
        <v>168</v>
      </c>
      <c r="C13" s="543" t="s">
        <v>169</v>
      </c>
      <c r="D13" s="543"/>
      <c r="E13" s="543"/>
      <c r="F13" s="543"/>
      <c r="G13" s="8"/>
      <c r="H13" s="9"/>
      <c r="I13" s="9"/>
      <c r="J13" s="9"/>
      <c r="L13" s="382"/>
      <c r="M13" s="382"/>
      <c r="N13" s="382"/>
      <c r="O13" s="383"/>
      <c r="P13" s="383"/>
      <c r="Q13" s="383"/>
      <c r="R13" s="383"/>
      <c r="S13" s="384"/>
      <c r="T13" s="384"/>
    </row>
    <row r="14" spans="1:20" ht="25.5">
      <c r="A14" s="5" t="s">
        <v>32</v>
      </c>
      <c r="B14" s="10" t="s">
        <v>170</v>
      </c>
      <c r="C14" s="543" t="s">
        <v>171</v>
      </c>
      <c r="D14" s="543"/>
      <c r="E14" s="543"/>
      <c r="F14" s="543"/>
      <c r="G14" s="8"/>
      <c r="H14" s="9"/>
      <c r="I14" s="9"/>
      <c r="J14" s="9"/>
      <c r="L14" s="382"/>
      <c r="M14" s="382"/>
      <c r="N14" s="382"/>
      <c r="O14" s="383"/>
      <c r="P14" s="383"/>
      <c r="Q14" s="383"/>
      <c r="R14" s="383"/>
      <c r="S14" s="384"/>
      <c r="T14" s="384"/>
    </row>
    <row r="15" spans="1:20" ht="25.5">
      <c r="A15" s="13" t="s">
        <v>35</v>
      </c>
      <c r="B15" s="14" t="s">
        <v>172</v>
      </c>
      <c r="C15" s="535" t="s">
        <v>173</v>
      </c>
      <c r="D15" s="535"/>
      <c r="E15" s="535"/>
      <c r="F15" s="535"/>
      <c r="G15" s="18"/>
      <c r="H15" s="17"/>
      <c r="I15" s="17"/>
      <c r="J15" s="17"/>
      <c r="L15" s="382"/>
      <c r="M15" s="382"/>
      <c r="N15" s="382"/>
      <c r="O15" s="382"/>
      <c r="P15" s="383"/>
      <c r="Q15" s="383"/>
      <c r="R15" s="383"/>
      <c r="S15" s="384"/>
      <c r="T15" s="384"/>
    </row>
    <row r="16" spans="1:20" ht="25.5">
      <c r="A16" s="5" t="s">
        <v>38</v>
      </c>
      <c r="B16" s="10" t="s">
        <v>174</v>
      </c>
      <c r="C16" s="543" t="s">
        <v>175</v>
      </c>
      <c r="D16" s="543"/>
      <c r="E16" s="543"/>
      <c r="F16" s="543"/>
      <c r="G16" s="8"/>
      <c r="H16" s="12"/>
      <c r="I16" s="12"/>
      <c r="J16" s="12"/>
      <c r="L16" s="383"/>
      <c r="M16" s="383"/>
      <c r="N16" s="383"/>
      <c r="O16" s="383"/>
      <c r="P16" s="383"/>
      <c r="Q16" s="383"/>
      <c r="R16" s="383"/>
      <c r="S16" s="384"/>
      <c r="T16" s="384"/>
    </row>
    <row r="17" spans="1:20" ht="25.5">
      <c r="A17" s="13" t="s">
        <v>41</v>
      </c>
      <c r="B17" s="14" t="s">
        <v>176</v>
      </c>
      <c r="C17" s="535" t="s">
        <v>177</v>
      </c>
      <c r="D17" s="535"/>
      <c r="E17" s="535"/>
      <c r="F17" s="535"/>
      <c r="G17" s="18"/>
      <c r="H17" s="17"/>
      <c r="I17" s="17"/>
      <c r="J17" s="17"/>
      <c r="L17" s="383"/>
      <c r="M17" s="383"/>
      <c r="N17" s="383"/>
      <c r="O17" s="383"/>
      <c r="P17" s="383"/>
      <c r="Q17" s="383"/>
      <c r="R17" s="383"/>
      <c r="S17" s="384"/>
      <c r="T17" s="384"/>
    </row>
    <row r="18" spans="1:20" ht="15">
      <c r="A18" s="5" t="s">
        <v>44</v>
      </c>
      <c r="B18" s="10" t="s">
        <v>178</v>
      </c>
      <c r="C18" s="543" t="s">
        <v>179</v>
      </c>
      <c r="D18" s="543"/>
      <c r="E18" s="543"/>
      <c r="F18" s="543"/>
      <c r="G18" s="8"/>
      <c r="H18" s="9"/>
      <c r="I18" s="9"/>
      <c r="J18" s="9"/>
      <c r="L18" s="384"/>
      <c r="M18" s="384"/>
      <c r="N18" s="384"/>
      <c r="O18" s="384"/>
      <c r="P18" s="384"/>
      <c r="Q18" s="384"/>
      <c r="R18" s="384"/>
      <c r="S18" s="384"/>
      <c r="T18" s="384"/>
    </row>
    <row r="19" spans="1:20" ht="15">
      <c r="A19" s="5" t="s">
        <v>47</v>
      </c>
      <c r="B19" s="10" t="s">
        <v>180</v>
      </c>
      <c r="C19" s="543" t="s">
        <v>181</v>
      </c>
      <c r="D19" s="543"/>
      <c r="E19" s="543"/>
      <c r="F19" s="543"/>
      <c r="G19" s="8"/>
      <c r="H19" s="9"/>
      <c r="I19" s="9"/>
      <c r="J19" s="9"/>
      <c r="L19" s="384"/>
      <c r="M19" s="384"/>
      <c r="N19" s="384"/>
      <c r="O19" s="384"/>
      <c r="P19" s="384"/>
      <c r="Q19" s="384"/>
      <c r="R19" s="384"/>
      <c r="S19" s="384"/>
      <c r="T19" s="384"/>
    </row>
    <row r="20" spans="1:20" ht="15">
      <c r="A20" s="5" t="s">
        <v>50</v>
      </c>
      <c r="B20" s="10" t="s">
        <v>182</v>
      </c>
      <c r="C20" s="543" t="s">
        <v>183</v>
      </c>
      <c r="D20" s="543"/>
      <c r="E20" s="543"/>
      <c r="F20" s="543"/>
      <c r="G20" s="8"/>
      <c r="H20" s="9"/>
      <c r="I20" s="9"/>
      <c r="J20" s="9"/>
      <c r="L20" s="384"/>
      <c r="M20" s="384"/>
      <c r="N20" s="384"/>
      <c r="O20" s="384"/>
      <c r="P20" s="384"/>
      <c r="Q20" s="384"/>
      <c r="R20" s="384"/>
      <c r="S20" s="384"/>
      <c r="T20" s="384"/>
    </row>
    <row r="21" spans="1:20" ht="15">
      <c r="A21" s="5" t="s">
        <v>53</v>
      </c>
      <c r="B21" s="10" t="s">
        <v>184</v>
      </c>
      <c r="C21" s="543" t="s">
        <v>185</v>
      </c>
      <c r="D21" s="543"/>
      <c r="E21" s="543"/>
      <c r="F21" s="543"/>
      <c r="G21" s="8"/>
      <c r="H21" s="9"/>
      <c r="I21" s="9"/>
      <c r="J21" s="9"/>
      <c r="L21" s="384"/>
      <c r="M21" s="384"/>
      <c r="N21" s="384"/>
      <c r="O21" s="384"/>
      <c r="P21" s="384"/>
      <c r="Q21" s="384"/>
      <c r="R21" s="384"/>
      <c r="S21" s="384"/>
      <c r="T21" s="384"/>
    </row>
    <row r="22" spans="1:10" ht="15">
      <c r="A22" s="13" t="s">
        <v>56</v>
      </c>
      <c r="B22" s="14" t="s">
        <v>186</v>
      </c>
      <c r="C22" s="535" t="s">
        <v>187</v>
      </c>
      <c r="D22" s="535"/>
      <c r="E22" s="535"/>
      <c r="F22" s="535"/>
      <c r="G22" s="18"/>
      <c r="H22" s="17"/>
      <c r="I22" s="17"/>
      <c r="J22" s="17"/>
    </row>
    <row r="23" spans="1:10" ht="15">
      <c r="A23" s="5" t="s">
        <v>59</v>
      </c>
      <c r="B23" s="19" t="s">
        <v>188</v>
      </c>
      <c r="C23" s="543" t="s">
        <v>189</v>
      </c>
      <c r="D23" s="543"/>
      <c r="E23" s="543"/>
      <c r="F23" s="543"/>
      <c r="G23" s="8"/>
      <c r="H23" s="9"/>
      <c r="I23" s="9"/>
      <c r="J23" s="9"/>
    </row>
    <row r="24" spans="1:10" ht="15">
      <c r="A24" s="5" t="s">
        <v>62</v>
      </c>
      <c r="B24" s="19" t="s">
        <v>190</v>
      </c>
      <c r="C24" s="543" t="s">
        <v>191</v>
      </c>
      <c r="D24" s="543"/>
      <c r="E24" s="543"/>
      <c r="F24" s="543"/>
      <c r="G24" s="8">
        <v>700000</v>
      </c>
      <c r="H24" s="9"/>
      <c r="I24" s="27">
        <f>G24</f>
        <v>700000</v>
      </c>
      <c r="J24" s="9"/>
    </row>
    <row r="25" spans="1:10" ht="15">
      <c r="A25" s="5" t="s">
        <v>65</v>
      </c>
      <c r="B25" s="19" t="s">
        <v>192</v>
      </c>
      <c r="C25" s="543" t="s">
        <v>193</v>
      </c>
      <c r="D25" s="543"/>
      <c r="E25" s="543"/>
      <c r="F25" s="543"/>
      <c r="G25" s="8"/>
      <c r="H25" s="9"/>
      <c r="I25" s="12"/>
      <c r="J25" s="9"/>
    </row>
    <row r="26" spans="1:10" ht="15">
      <c r="A26" s="5" t="s">
        <v>68</v>
      </c>
      <c r="B26" s="19" t="s">
        <v>194</v>
      </c>
      <c r="C26" s="543" t="s">
        <v>195</v>
      </c>
      <c r="D26" s="543"/>
      <c r="E26" s="543"/>
      <c r="F26" s="543"/>
      <c r="G26" s="8"/>
      <c r="H26" s="9"/>
      <c r="I26" s="9"/>
      <c r="J26" s="9"/>
    </row>
    <row r="27" spans="1:10" ht="15">
      <c r="A27" s="5" t="s">
        <v>71</v>
      </c>
      <c r="B27" s="19" t="s">
        <v>196</v>
      </c>
      <c r="C27" s="543" t="s">
        <v>197</v>
      </c>
      <c r="D27" s="543"/>
      <c r="E27" s="543"/>
      <c r="F27" s="543"/>
      <c r="G27" s="8"/>
      <c r="H27" s="9"/>
      <c r="I27" s="9"/>
      <c r="J27" s="9"/>
    </row>
    <row r="28" spans="1:10" ht="15">
      <c r="A28" s="5" t="s">
        <v>74</v>
      </c>
      <c r="B28" s="19" t="s">
        <v>198</v>
      </c>
      <c r="C28" s="543" t="s">
        <v>199</v>
      </c>
      <c r="D28" s="543"/>
      <c r="E28" s="543"/>
      <c r="F28" s="543"/>
      <c r="G28" s="8"/>
      <c r="H28" s="9"/>
      <c r="I28" s="9"/>
      <c r="J28" s="9"/>
    </row>
    <row r="29" spans="1:10" ht="15">
      <c r="A29" s="13" t="s">
        <v>77</v>
      </c>
      <c r="B29" s="39" t="s">
        <v>200</v>
      </c>
      <c r="C29" s="535" t="s">
        <v>201</v>
      </c>
      <c r="D29" s="535"/>
      <c r="E29" s="535"/>
      <c r="F29" s="535"/>
      <c r="G29" s="18">
        <f>G24</f>
        <v>700000</v>
      </c>
      <c r="H29" s="17"/>
      <c r="I29" s="16">
        <f>I24</f>
        <v>700000</v>
      </c>
      <c r="J29" s="17"/>
    </row>
    <row r="30" spans="1:10" ht="15">
      <c r="A30" s="5" t="s">
        <v>80</v>
      </c>
      <c r="B30" s="21" t="s">
        <v>202</v>
      </c>
      <c r="C30" s="540" t="s">
        <v>203</v>
      </c>
      <c r="D30" s="541"/>
      <c r="E30" s="541"/>
      <c r="F30" s="542"/>
      <c r="G30" s="45"/>
      <c r="H30" s="9"/>
      <c r="I30" s="9"/>
      <c r="J30" s="9"/>
    </row>
    <row r="31" spans="1:10" ht="15">
      <c r="A31" s="13" t="s">
        <v>83</v>
      </c>
      <c r="B31" s="39" t="s">
        <v>204</v>
      </c>
      <c r="C31" s="544" t="s">
        <v>203</v>
      </c>
      <c r="D31" s="534"/>
      <c r="E31" s="534"/>
      <c r="F31" s="545"/>
      <c r="G31" s="18"/>
      <c r="H31" s="17"/>
      <c r="I31" s="17"/>
      <c r="J31" s="17"/>
    </row>
    <row r="32" spans="1:10" ht="38.25">
      <c r="A32" s="5" t="s">
        <v>86</v>
      </c>
      <c r="B32" s="10" t="s">
        <v>206</v>
      </c>
      <c r="C32" s="543" t="s">
        <v>207</v>
      </c>
      <c r="D32" s="543"/>
      <c r="E32" s="543"/>
      <c r="F32" s="543"/>
      <c r="G32" s="8"/>
      <c r="H32" s="9"/>
      <c r="I32" s="9"/>
      <c r="J32" s="9"/>
    </row>
    <row r="33" spans="1:10" ht="15">
      <c r="A33" s="13" t="s">
        <v>89</v>
      </c>
      <c r="B33" s="14" t="s">
        <v>208</v>
      </c>
      <c r="C33" s="535" t="s">
        <v>209</v>
      </c>
      <c r="D33" s="535"/>
      <c r="E33" s="535"/>
      <c r="F33" s="535"/>
      <c r="G33" s="18"/>
      <c r="H33" s="17"/>
      <c r="I33" s="17"/>
      <c r="J33" s="17"/>
    </row>
    <row r="34" spans="1:10" ht="25.5">
      <c r="A34" s="5" t="s">
        <v>92</v>
      </c>
      <c r="B34" s="10" t="s">
        <v>210</v>
      </c>
      <c r="C34" s="603" t="s">
        <v>211</v>
      </c>
      <c r="D34" s="604"/>
      <c r="E34" s="604"/>
      <c r="F34" s="605"/>
      <c r="G34" s="45"/>
      <c r="H34" s="9"/>
      <c r="I34" s="9"/>
      <c r="J34" s="9"/>
    </row>
    <row r="35" spans="1:10" ht="15">
      <c r="A35" s="13" t="s">
        <v>95</v>
      </c>
      <c r="B35" s="14" t="s">
        <v>212</v>
      </c>
      <c r="C35" s="535" t="s">
        <v>213</v>
      </c>
      <c r="D35" s="535"/>
      <c r="E35" s="535"/>
      <c r="F35" s="535"/>
      <c r="G35" s="18"/>
      <c r="H35" s="46"/>
      <c r="I35" s="46"/>
      <c r="J35" s="46"/>
    </row>
    <row r="36" spans="1:10" ht="25.5">
      <c r="A36" s="13" t="s">
        <v>98</v>
      </c>
      <c r="B36" s="28" t="s">
        <v>214</v>
      </c>
      <c r="C36" s="535" t="s">
        <v>215</v>
      </c>
      <c r="D36" s="535"/>
      <c r="E36" s="535"/>
      <c r="F36" s="535"/>
      <c r="G36" s="18">
        <f>G29</f>
        <v>700000</v>
      </c>
      <c r="H36" s="16"/>
      <c r="I36" s="16">
        <f>I29</f>
        <v>700000</v>
      </c>
      <c r="J36" s="17"/>
    </row>
    <row r="37" spans="1:10" ht="15">
      <c r="A37" s="29"/>
      <c r="B37" s="2"/>
      <c r="C37" s="2"/>
      <c r="D37" s="2"/>
      <c r="E37" s="2"/>
      <c r="F37" s="2"/>
      <c r="G37" s="30"/>
      <c r="H37" s="2"/>
      <c r="I37" s="2"/>
      <c r="J37" s="2"/>
    </row>
    <row r="38" spans="1:10" ht="15.75" thickBot="1">
      <c r="A38" s="558" t="s">
        <v>228</v>
      </c>
      <c r="B38" s="558"/>
      <c r="C38" s="558"/>
      <c r="D38" s="558"/>
      <c r="E38" s="558"/>
      <c r="F38" s="558"/>
      <c r="G38" s="558"/>
      <c r="H38" s="558"/>
      <c r="I38" s="558"/>
      <c r="J38" s="558"/>
    </row>
    <row r="39" spans="1:10" ht="15">
      <c r="A39" s="559" t="s">
        <v>3</v>
      </c>
      <c r="B39" s="561" t="s">
        <v>4</v>
      </c>
      <c r="C39" s="562" t="s">
        <v>5</v>
      </c>
      <c r="D39" s="562"/>
      <c r="E39" s="562"/>
      <c r="F39" s="562"/>
      <c r="G39" s="563" t="s">
        <v>144</v>
      </c>
      <c r="H39" s="602"/>
      <c r="I39" s="602"/>
      <c r="J39" s="602"/>
    </row>
    <row r="40" spans="1:10" ht="15">
      <c r="A40" s="560"/>
      <c r="B40" s="538"/>
      <c r="C40" s="539"/>
      <c r="D40" s="539"/>
      <c r="E40" s="539"/>
      <c r="F40" s="539"/>
      <c r="G40" s="564"/>
      <c r="H40" s="289"/>
      <c r="I40" s="289"/>
      <c r="J40" s="289"/>
    </row>
    <row r="41" spans="1:10" ht="25.5">
      <c r="A41" s="489" t="s">
        <v>101</v>
      </c>
      <c r="B41" s="19" t="s">
        <v>217</v>
      </c>
      <c r="C41" s="543" t="s">
        <v>218</v>
      </c>
      <c r="D41" s="543"/>
      <c r="E41" s="543"/>
      <c r="F41" s="543"/>
      <c r="G41" s="490">
        <f>1001680+28580</f>
        <v>1030260</v>
      </c>
      <c r="H41" s="290"/>
      <c r="I41" s="488"/>
      <c r="J41" s="287"/>
    </row>
    <row r="42" spans="1:10" ht="15">
      <c r="A42" s="489" t="s">
        <v>104</v>
      </c>
      <c r="B42" s="19" t="s">
        <v>219</v>
      </c>
      <c r="C42" s="543" t="s">
        <v>220</v>
      </c>
      <c r="D42" s="543"/>
      <c r="E42" s="543"/>
      <c r="F42" s="543"/>
      <c r="G42" s="490"/>
      <c r="H42" s="287"/>
      <c r="I42" s="287"/>
      <c r="J42" s="287"/>
    </row>
    <row r="43" spans="1:10" ht="15">
      <c r="A43" s="489" t="s">
        <v>107</v>
      </c>
      <c r="B43" s="19" t="s">
        <v>221</v>
      </c>
      <c r="C43" s="540" t="s">
        <v>222</v>
      </c>
      <c r="D43" s="541"/>
      <c r="E43" s="541"/>
      <c r="F43" s="542"/>
      <c r="G43" s="490">
        <v>146500595</v>
      </c>
      <c r="H43" s="290"/>
      <c r="I43" s="317"/>
      <c r="J43" s="287"/>
    </row>
    <row r="44" spans="1:10" ht="15.75" thickBot="1">
      <c r="A44" s="491" t="s">
        <v>110</v>
      </c>
      <c r="B44" s="492" t="s">
        <v>223</v>
      </c>
      <c r="C44" s="606" t="s">
        <v>224</v>
      </c>
      <c r="D44" s="607"/>
      <c r="E44" s="607"/>
      <c r="F44" s="608"/>
      <c r="G44" s="493">
        <f>SUM(G41:G43)</f>
        <v>147530855</v>
      </c>
      <c r="H44" s="291"/>
      <c r="I44" s="287"/>
      <c r="J44" s="287"/>
    </row>
    <row r="45" spans="1:10" ht="15.75" thickBot="1">
      <c r="A45" s="34"/>
      <c r="B45" s="2"/>
      <c r="C45" s="2"/>
      <c r="D45" s="2"/>
      <c r="E45" s="2"/>
      <c r="F45" s="2"/>
      <c r="G45" s="30"/>
      <c r="H45" s="287"/>
      <c r="I45" s="287"/>
      <c r="J45" s="287"/>
    </row>
    <row r="46" spans="1:11" ht="15.75" thickBot="1">
      <c r="A46" s="494"/>
      <c r="B46" s="495" t="s">
        <v>225</v>
      </c>
      <c r="C46" s="557"/>
      <c r="D46" s="557"/>
      <c r="E46" s="557"/>
      <c r="F46" s="557"/>
      <c r="G46" s="496">
        <f>G44+G36</f>
        <v>148230855</v>
      </c>
      <c r="H46" s="291"/>
      <c r="I46" s="317"/>
      <c r="J46" s="287"/>
      <c r="K46" s="56"/>
    </row>
  </sheetData>
  <sheetProtection/>
  <mergeCells count="49">
    <mergeCell ref="C41:F41"/>
    <mergeCell ref="C42:F42"/>
    <mergeCell ref="C44:F44"/>
    <mergeCell ref="C46:F46"/>
    <mergeCell ref="C36:F36"/>
    <mergeCell ref="A38:J38"/>
    <mergeCell ref="A39:A40"/>
    <mergeCell ref="B39:B40"/>
    <mergeCell ref="C39:F40"/>
    <mergeCell ref="G39:G40"/>
    <mergeCell ref="H39:J39"/>
    <mergeCell ref="C27:F27"/>
    <mergeCell ref="C28:F28"/>
    <mergeCell ref="C29:F29"/>
    <mergeCell ref="C32:F32"/>
    <mergeCell ref="C33:F33"/>
    <mergeCell ref="C35:F35"/>
    <mergeCell ref="C30:F30"/>
    <mergeCell ref="C31:F31"/>
    <mergeCell ref="C34:F34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0:F20"/>
    <mergeCell ref="C8:F8"/>
    <mergeCell ref="C9:F9"/>
    <mergeCell ref="C12:F12"/>
    <mergeCell ref="C13:F13"/>
    <mergeCell ref="C14:F14"/>
    <mergeCell ref="C10:F10"/>
    <mergeCell ref="C11:F11"/>
    <mergeCell ref="C43:F43"/>
    <mergeCell ref="A1:J1"/>
    <mergeCell ref="A3:J3"/>
    <mergeCell ref="A4:J4"/>
    <mergeCell ref="A5:A6"/>
    <mergeCell ref="B5:B6"/>
    <mergeCell ref="C5:F6"/>
    <mergeCell ref="G5:G6"/>
    <mergeCell ref="H5:J5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46">
      <selection activeCell="I60" sqref="I60"/>
    </sheetView>
  </sheetViews>
  <sheetFormatPr defaultColWidth="9.140625" defaultRowHeight="15"/>
  <cols>
    <col min="1" max="1" width="9.57421875" style="0" customWidth="1"/>
    <col min="2" max="2" width="34.140625" style="0" customWidth="1"/>
    <col min="7" max="7" width="20.421875" style="57" bestFit="1" customWidth="1"/>
    <col min="8" max="8" width="10.8515625" style="57" bestFit="1" customWidth="1"/>
    <col min="9" max="9" width="11.8515625" style="57" bestFit="1" customWidth="1"/>
    <col min="10" max="10" width="6.28125" style="57" bestFit="1" customWidth="1"/>
    <col min="11" max="11" width="11.57421875" style="57" bestFit="1" customWidth="1"/>
    <col min="12" max="12" width="12.00390625" style="57" bestFit="1" customWidth="1"/>
    <col min="13" max="13" width="9.8515625" style="0" bestFit="1" customWidth="1"/>
    <col min="14" max="14" width="10.57421875" style="0" bestFit="1" customWidth="1"/>
  </cols>
  <sheetData>
    <row r="1" spans="1:12" ht="15">
      <c r="A1" s="549" t="s">
        <v>229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</row>
    <row r="2" spans="1:10" ht="15">
      <c r="A2" s="1"/>
      <c r="B2" s="1"/>
      <c r="C2" s="1"/>
      <c r="D2" s="1"/>
      <c r="E2" s="1"/>
      <c r="F2" s="1"/>
      <c r="G2" s="1"/>
      <c r="H2" s="1"/>
      <c r="I2" s="68"/>
      <c r="J2" s="68"/>
    </row>
    <row r="3" spans="1:10" ht="15">
      <c r="A3" s="572" t="s">
        <v>230</v>
      </c>
      <c r="B3" s="572"/>
      <c r="C3" s="572"/>
      <c r="D3" s="572"/>
      <c r="E3" s="572"/>
      <c r="F3" s="572"/>
      <c r="G3" s="572"/>
      <c r="H3" s="572"/>
      <c r="I3" s="69"/>
      <c r="J3" s="69"/>
    </row>
    <row r="4" spans="1:10" ht="15">
      <c r="A4" s="573" t="s">
        <v>2</v>
      </c>
      <c r="B4" s="574"/>
      <c r="C4" s="574"/>
      <c r="D4" s="574"/>
      <c r="E4" s="574"/>
      <c r="F4" s="574"/>
      <c r="G4" s="574"/>
      <c r="H4" s="574"/>
      <c r="I4" s="69"/>
      <c r="J4" s="69"/>
    </row>
    <row r="5" spans="1:12" ht="15">
      <c r="A5" s="537" t="s">
        <v>3</v>
      </c>
      <c r="B5" s="538" t="s">
        <v>4</v>
      </c>
      <c r="C5" s="539" t="s">
        <v>5</v>
      </c>
      <c r="D5" s="539"/>
      <c r="E5" s="539"/>
      <c r="F5" s="539"/>
      <c r="G5" s="611" t="s">
        <v>393</v>
      </c>
      <c r="H5" s="609"/>
      <c r="I5" s="610"/>
      <c r="J5" s="610"/>
      <c r="K5" s="610"/>
      <c r="L5" s="610"/>
    </row>
    <row r="6" spans="1:12" ht="26.25">
      <c r="A6" s="537"/>
      <c r="B6" s="538"/>
      <c r="C6" s="539"/>
      <c r="D6" s="539"/>
      <c r="E6" s="539"/>
      <c r="F6" s="539"/>
      <c r="G6" s="611"/>
      <c r="H6" s="70" t="s">
        <v>8</v>
      </c>
      <c r="I6" s="70" t="s">
        <v>9</v>
      </c>
      <c r="J6" s="70" t="s">
        <v>10</v>
      </c>
      <c r="K6" s="70" t="s">
        <v>245</v>
      </c>
      <c r="L6" s="70" t="s">
        <v>246</v>
      </c>
    </row>
    <row r="7" spans="1:14" ht="15">
      <c r="A7" s="5" t="s">
        <v>11</v>
      </c>
      <c r="B7" s="6" t="s">
        <v>12</v>
      </c>
      <c r="C7" s="540" t="s">
        <v>13</v>
      </c>
      <c r="D7" s="541"/>
      <c r="E7" s="541"/>
      <c r="F7" s="542"/>
      <c r="G7" s="71">
        <f>'[8]Hiv.'!$I$84</f>
        <v>106198548</v>
      </c>
      <c r="H7" s="72">
        <f>G7</f>
        <v>106198548</v>
      </c>
      <c r="I7" s="73"/>
      <c r="J7" s="73"/>
      <c r="K7" s="80">
        <f>G7-L7</f>
        <v>72541948</v>
      </c>
      <c r="L7" s="80">
        <f>'[8]SZLK'!$R$17</f>
        <v>33656600</v>
      </c>
      <c r="N7" s="56"/>
    </row>
    <row r="8" spans="1:13" ht="15">
      <c r="A8" s="5" t="s">
        <v>14</v>
      </c>
      <c r="B8" s="6" t="s">
        <v>15</v>
      </c>
      <c r="C8" s="540" t="s">
        <v>16</v>
      </c>
      <c r="D8" s="541"/>
      <c r="E8" s="541"/>
      <c r="F8" s="542"/>
      <c r="G8" s="71">
        <f>'[6]Hiv.'!$I$103</f>
        <v>4947000</v>
      </c>
      <c r="H8" s="72">
        <f aca="true" t="shared" si="0" ref="H8:H18">G8</f>
        <v>4947000</v>
      </c>
      <c r="I8" s="73"/>
      <c r="J8" s="73"/>
      <c r="K8" s="80">
        <f>G8-L8</f>
        <v>4542000</v>
      </c>
      <c r="L8" s="80">
        <f>'[7]SZLK'!$R$18</f>
        <v>405000</v>
      </c>
      <c r="M8" s="56"/>
    </row>
    <row r="9" spans="1:14" ht="25.5">
      <c r="A9" s="5" t="s">
        <v>17</v>
      </c>
      <c r="B9" s="6" t="s">
        <v>18</v>
      </c>
      <c r="C9" s="540" t="s">
        <v>19</v>
      </c>
      <c r="D9" s="541"/>
      <c r="E9" s="541"/>
      <c r="F9" s="542"/>
      <c r="G9" s="71">
        <f>'[6]Hiv.'!$I$85</f>
        <v>407500</v>
      </c>
      <c r="H9" s="72">
        <f t="shared" si="0"/>
        <v>407500</v>
      </c>
      <c r="I9" s="73"/>
      <c r="J9" s="73"/>
      <c r="K9" s="80">
        <f aca="true" t="shared" si="1" ref="K9:K18">G9-L9</f>
        <v>407500</v>
      </c>
      <c r="L9" s="80">
        <v>0</v>
      </c>
      <c r="N9" s="265"/>
    </row>
    <row r="10" spans="1:12" ht="15">
      <c r="A10" s="5" t="s">
        <v>20</v>
      </c>
      <c r="B10" s="6" t="s">
        <v>21</v>
      </c>
      <c r="C10" s="540" t="s">
        <v>22</v>
      </c>
      <c r="D10" s="541"/>
      <c r="E10" s="541"/>
      <c r="F10" s="542"/>
      <c r="G10" s="71">
        <v>1800000</v>
      </c>
      <c r="H10" s="72">
        <f t="shared" si="0"/>
        <v>1800000</v>
      </c>
      <c r="I10" s="73"/>
      <c r="J10" s="73"/>
      <c r="K10" s="80">
        <f t="shared" si="1"/>
        <v>1800000</v>
      </c>
      <c r="L10" s="80">
        <v>0</v>
      </c>
    </row>
    <row r="11" spans="1:12" ht="15">
      <c r="A11" s="5" t="s">
        <v>23</v>
      </c>
      <c r="B11" s="10" t="s">
        <v>24</v>
      </c>
      <c r="C11" s="543" t="s">
        <v>25</v>
      </c>
      <c r="D11" s="543"/>
      <c r="E11" s="543"/>
      <c r="F11" s="543"/>
      <c r="G11" s="71">
        <v>4107603</v>
      </c>
      <c r="H11" s="72">
        <f t="shared" si="0"/>
        <v>4107603</v>
      </c>
      <c r="I11" s="73"/>
      <c r="J11" s="73"/>
      <c r="K11" s="80">
        <f t="shared" si="1"/>
        <v>2981578</v>
      </c>
      <c r="L11" s="80">
        <f>'[7]SZLK'!$R$20</f>
        <v>1126025</v>
      </c>
    </row>
    <row r="12" spans="1:12" ht="15">
      <c r="A12" s="5" t="s">
        <v>26</v>
      </c>
      <c r="B12" s="10" t="s">
        <v>27</v>
      </c>
      <c r="C12" s="540" t="s">
        <v>28</v>
      </c>
      <c r="D12" s="541"/>
      <c r="E12" s="541"/>
      <c r="F12" s="542"/>
      <c r="G12" s="71">
        <f>'[6]Hiv.'!$I$88</f>
        <v>0</v>
      </c>
      <c r="H12" s="72">
        <f t="shared" si="0"/>
        <v>0</v>
      </c>
      <c r="I12" s="73"/>
      <c r="J12" s="73"/>
      <c r="K12" s="80">
        <f t="shared" si="1"/>
        <v>0</v>
      </c>
      <c r="L12" s="80">
        <v>0</v>
      </c>
    </row>
    <row r="13" spans="1:12" ht="15">
      <c r="A13" s="5" t="s">
        <v>29</v>
      </c>
      <c r="B13" s="10" t="s">
        <v>30</v>
      </c>
      <c r="C13" s="543" t="s">
        <v>31</v>
      </c>
      <c r="D13" s="543"/>
      <c r="E13" s="543"/>
      <c r="F13" s="543"/>
      <c r="G13" s="71">
        <f>'[6]Hiv.'!$I$89</f>
        <v>1234620</v>
      </c>
      <c r="H13" s="72">
        <f t="shared" si="0"/>
        <v>1234620</v>
      </c>
      <c r="I13" s="73"/>
      <c r="J13" s="73"/>
      <c r="K13" s="80">
        <f t="shared" si="1"/>
        <v>893000</v>
      </c>
      <c r="L13" s="80">
        <f>'[7]SZLK'!$R$21</f>
        <v>341620</v>
      </c>
    </row>
    <row r="14" spans="1:12" ht="15">
      <c r="A14" s="5" t="s">
        <v>32</v>
      </c>
      <c r="B14" s="10" t="s">
        <v>33</v>
      </c>
      <c r="C14" s="540" t="s">
        <v>34</v>
      </c>
      <c r="D14" s="541"/>
      <c r="E14" s="541"/>
      <c r="F14" s="542"/>
      <c r="G14" s="71">
        <f>0</f>
        <v>0</v>
      </c>
      <c r="H14" s="72">
        <f t="shared" si="0"/>
        <v>0</v>
      </c>
      <c r="I14" s="73"/>
      <c r="J14" s="73"/>
      <c r="K14" s="80">
        <f t="shared" si="1"/>
        <v>0</v>
      </c>
      <c r="L14" s="80">
        <v>0</v>
      </c>
    </row>
    <row r="15" spans="1:12" ht="15">
      <c r="A15" s="5" t="s">
        <v>35</v>
      </c>
      <c r="B15" s="10" t="s">
        <v>36</v>
      </c>
      <c r="C15" s="540" t="s">
        <v>37</v>
      </c>
      <c r="D15" s="541"/>
      <c r="E15" s="541"/>
      <c r="F15" s="542"/>
      <c r="G15" s="71">
        <f>'[6]Hiv.'!$I$90</f>
        <v>1000000</v>
      </c>
      <c r="H15" s="72">
        <f t="shared" si="0"/>
        <v>1000000</v>
      </c>
      <c r="I15" s="73"/>
      <c r="J15" s="73"/>
      <c r="K15" s="80">
        <f t="shared" si="1"/>
        <v>1000000</v>
      </c>
      <c r="L15" s="80">
        <v>0</v>
      </c>
    </row>
    <row r="16" spans="1:12" ht="15">
      <c r="A16" s="5" t="s">
        <v>38</v>
      </c>
      <c r="B16" s="10" t="s">
        <v>39</v>
      </c>
      <c r="C16" s="543" t="s">
        <v>40</v>
      </c>
      <c r="D16" s="543"/>
      <c r="E16" s="543"/>
      <c r="F16" s="543"/>
      <c r="G16" s="71">
        <v>0</v>
      </c>
      <c r="H16" s="72">
        <f t="shared" si="0"/>
        <v>0</v>
      </c>
      <c r="I16" s="73"/>
      <c r="J16" s="73"/>
      <c r="K16" s="80">
        <f t="shared" si="1"/>
        <v>0</v>
      </c>
      <c r="L16" s="80">
        <v>0</v>
      </c>
    </row>
    <row r="17" spans="1:12" ht="38.25">
      <c r="A17" s="5" t="s">
        <v>41</v>
      </c>
      <c r="B17" s="10" t="s">
        <v>42</v>
      </c>
      <c r="C17" s="543" t="s">
        <v>43</v>
      </c>
      <c r="D17" s="543"/>
      <c r="E17" s="543"/>
      <c r="F17" s="543"/>
      <c r="G17" s="74">
        <f>'[6]Hiv.'!$I$91</f>
        <v>864000</v>
      </c>
      <c r="H17" s="72">
        <f t="shared" si="0"/>
        <v>864000</v>
      </c>
      <c r="I17" s="75"/>
      <c r="J17" s="75"/>
      <c r="K17" s="80">
        <f t="shared" si="1"/>
        <v>864000</v>
      </c>
      <c r="L17" s="80">
        <v>0</v>
      </c>
    </row>
    <row r="18" spans="1:12" ht="15">
      <c r="A18" s="5" t="s">
        <v>44</v>
      </c>
      <c r="B18" s="10" t="s">
        <v>45</v>
      </c>
      <c r="C18" s="543" t="s">
        <v>46</v>
      </c>
      <c r="D18" s="543"/>
      <c r="E18" s="543"/>
      <c r="F18" s="543"/>
      <c r="G18" s="71">
        <f>'[6]Hiv.'!$I$92</f>
        <v>50000</v>
      </c>
      <c r="H18" s="72">
        <f t="shared" si="0"/>
        <v>50000</v>
      </c>
      <c r="I18" s="73"/>
      <c r="J18" s="73"/>
      <c r="K18" s="80">
        <f t="shared" si="1"/>
        <v>50000</v>
      </c>
      <c r="L18" s="80">
        <v>0</v>
      </c>
    </row>
    <row r="19" spans="1:12" ht="15">
      <c r="A19" s="13" t="s">
        <v>47</v>
      </c>
      <c r="B19" s="14" t="s">
        <v>48</v>
      </c>
      <c r="C19" s="535" t="s">
        <v>49</v>
      </c>
      <c r="D19" s="535"/>
      <c r="E19" s="535"/>
      <c r="F19" s="535"/>
      <c r="G19" s="76">
        <f>SUM(G7:G18)</f>
        <v>120609271</v>
      </c>
      <c r="H19" s="76">
        <f>SUM(H7:H18)</f>
        <v>120609271</v>
      </c>
      <c r="I19" s="77"/>
      <c r="J19" s="77"/>
      <c r="K19" s="78">
        <f>SUM(K7:K18)</f>
        <v>85080026</v>
      </c>
      <c r="L19" s="78">
        <f>SUM(L7:L18)</f>
        <v>35529245</v>
      </c>
    </row>
    <row r="20" spans="1:12" ht="25.5">
      <c r="A20" s="13" t="s">
        <v>50</v>
      </c>
      <c r="B20" s="14" t="s">
        <v>51</v>
      </c>
      <c r="C20" s="535" t="s">
        <v>52</v>
      </c>
      <c r="D20" s="535"/>
      <c r="E20" s="535"/>
      <c r="F20" s="535"/>
      <c r="G20" s="79">
        <f>'[8]Hiv.'!$I$93</f>
        <v>15968584.115</v>
      </c>
      <c r="H20" s="79">
        <f>G20</f>
        <v>15968584.115</v>
      </c>
      <c r="I20" s="79"/>
      <c r="J20" s="79"/>
      <c r="K20" s="78">
        <f>G20-L20</f>
        <v>11559450.115</v>
      </c>
      <c r="L20" s="78">
        <f>'[8]SZLK'!$R$22</f>
        <v>4409134</v>
      </c>
    </row>
    <row r="21" spans="1:12" ht="15">
      <c r="A21" s="5" t="s">
        <v>53</v>
      </c>
      <c r="B21" s="10" t="s">
        <v>54</v>
      </c>
      <c r="C21" s="543" t="s">
        <v>55</v>
      </c>
      <c r="D21" s="543"/>
      <c r="E21" s="543"/>
      <c r="F21" s="543"/>
      <c r="G21" s="71">
        <f>'[7]Hiv.'!$I$94</f>
        <v>400000</v>
      </c>
      <c r="H21" s="72">
        <f>G21</f>
        <v>400000</v>
      </c>
      <c r="I21" s="73"/>
      <c r="J21" s="73"/>
      <c r="K21" s="80">
        <f>G21</f>
        <v>400000</v>
      </c>
      <c r="L21" s="81"/>
    </row>
    <row r="22" spans="1:12" ht="15">
      <c r="A22" s="5" t="s">
        <v>56</v>
      </c>
      <c r="B22" s="10" t="s">
        <v>57</v>
      </c>
      <c r="C22" s="540" t="s">
        <v>58</v>
      </c>
      <c r="D22" s="541"/>
      <c r="E22" s="541"/>
      <c r="F22" s="542"/>
      <c r="G22" s="71">
        <f>'[7]Hiv.'!$I$95</f>
        <v>1650000</v>
      </c>
      <c r="H22" s="72">
        <f aca="true" t="shared" si="2" ref="H22:H31">G22</f>
        <v>1650000</v>
      </c>
      <c r="I22" s="73"/>
      <c r="J22" s="73"/>
      <c r="K22" s="80">
        <f aca="true" t="shared" si="3" ref="K22:K32">G22</f>
        <v>1650000</v>
      </c>
      <c r="L22" s="81"/>
    </row>
    <row r="23" spans="1:12" ht="15">
      <c r="A23" s="5" t="s">
        <v>59</v>
      </c>
      <c r="B23" s="10" t="s">
        <v>60</v>
      </c>
      <c r="C23" s="543" t="s">
        <v>61</v>
      </c>
      <c r="D23" s="543"/>
      <c r="E23" s="543"/>
      <c r="F23" s="543"/>
      <c r="G23" s="71">
        <f>'[7]Hiv.'!$I$96</f>
        <v>700000</v>
      </c>
      <c r="H23" s="72">
        <f t="shared" si="2"/>
        <v>700000</v>
      </c>
      <c r="I23" s="73"/>
      <c r="J23" s="73"/>
      <c r="K23" s="80">
        <f t="shared" si="3"/>
        <v>700000</v>
      </c>
      <c r="L23" s="81"/>
    </row>
    <row r="24" spans="1:12" ht="15">
      <c r="A24" s="5" t="s">
        <v>62</v>
      </c>
      <c r="B24" s="10" t="s">
        <v>63</v>
      </c>
      <c r="C24" s="543" t="s">
        <v>64</v>
      </c>
      <c r="D24" s="543"/>
      <c r="E24" s="543"/>
      <c r="F24" s="543"/>
      <c r="G24" s="71">
        <f>'[7]Hiv.'!$I$97</f>
        <v>450000</v>
      </c>
      <c r="H24" s="72">
        <f t="shared" si="2"/>
        <v>450000</v>
      </c>
      <c r="I24" s="73"/>
      <c r="J24" s="73"/>
      <c r="K24" s="80">
        <f t="shared" si="3"/>
        <v>450000</v>
      </c>
      <c r="L24" s="81"/>
    </row>
    <row r="25" spans="1:12" ht="15">
      <c r="A25" s="5" t="s">
        <v>65</v>
      </c>
      <c r="B25" s="19" t="s">
        <v>66</v>
      </c>
      <c r="C25" s="543" t="s">
        <v>67</v>
      </c>
      <c r="D25" s="543"/>
      <c r="E25" s="543"/>
      <c r="F25" s="543"/>
      <c r="G25" s="71">
        <f>'[7]Hiv.'!$I$98</f>
        <v>2000000</v>
      </c>
      <c r="H25" s="72">
        <f t="shared" si="2"/>
        <v>2000000</v>
      </c>
      <c r="I25" s="73"/>
      <c r="J25" s="73"/>
      <c r="K25" s="80">
        <f t="shared" si="3"/>
        <v>2000000</v>
      </c>
      <c r="L25" s="81"/>
    </row>
    <row r="26" spans="1:12" ht="15">
      <c r="A26" s="5" t="s">
        <v>68</v>
      </c>
      <c r="B26" s="19" t="s">
        <v>69</v>
      </c>
      <c r="C26" s="543" t="s">
        <v>70</v>
      </c>
      <c r="D26" s="543"/>
      <c r="E26" s="543"/>
      <c r="F26" s="543"/>
      <c r="G26" s="71">
        <v>0</v>
      </c>
      <c r="H26" s="72">
        <f t="shared" si="2"/>
        <v>0</v>
      </c>
      <c r="I26" s="73"/>
      <c r="J26" s="73"/>
      <c r="K26" s="80">
        <f t="shared" si="3"/>
        <v>0</v>
      </c>
      <c r="L26" s="81"/>
    </row>
    <row r="27" spans="1:12" ht="15">
      <c r="A27" s="5" t="s">
        <v>71</v>
      </c>
      <c r="B27" s="19" t="s">
        <v>72</v>
      </c>
      <c r="C27" s="540" t="s">
        <v>73</v>
      </c>
      <c r="D27" s="541"/>
      <c r="E27" s="541"/>
      <c r="F27" s="542"/>
      <c r="G27" s="71">
        <v>0</v>
      </c>
      <c r="H27" s="72">
        <f t="shared" si="2"/>
        <v>0</v>
      </c>
      <c r="I27" s="73"/>
      <c r="J27" s="73"/>
      <c r="K27" s="80">
        <f t="shared" si="3"/>
        <v>0</v>
      </c>
      <c r="L27" s="81"/>
    </row>
    <row r="28" spans="1:12" ht="25.5">
      <c r="A28" s="5" t="s">
        <v>74</v>
      </c>
      <c r="B28" s="19" t="s">
        <v>75</v>
      </c>
      <c r="C28" s="543" t="s">
        <v>76</v>
      </c>
      <c r="D28" s="543"/>
      <c r="E28" s="543"/>
      <c r="F28" s="543"/>
      <c r="G28" s="71">
        <f>'[7]Hiv.'!$I$99</f>
        <v>2000000</v>
      </c>
      <c r="H28" s="72">
        <f t="shared" si="2"/>
        <v>2000000</v>
      </c>
      <c r="I28" s="73"/>
      <c r="J28" s="73"/>
      <c r="K28" s="80">
        <f t="shared" si="3"/>
        <v>2000000</v>
      </c>
      <c r="L28" s="81"/>
    </row>
    <row r="29" spans="1:12" ht="15">
      <c r="A29" s="5" t="s">
        <v>77</v>
      </c>
      <c r="B29" s="19" t="s">
        <v>78</v>
      </c>
      <c r="C29" s="543" t="s">
        <v>79</v>
      </c>
      <c r="D29" s="543"/>
      <c r="E29" s="543"/>
      <c r="F29" s="543"/>
      <c r="G29" s="71">
        <f>'[7]Hiv.'!$I$100</f>
        <v>800000</v>
      </c>
      <c r="H29" s="72">
        <f t="shared" si="2"/>
        <v>800000</v>
      </c>
      <c r="I29" s="73"/>
      <c r="J29" s="73"/>
      <c r="K29" s="80">
        <f t="shared" si="3"/>
        <v>800000</v>
      </c>
      <c r="L29" s="81"/>
    </row>
    <row r="30" spans="1:12" ht="15">
      <c r="A30" s="5" t="s">
        <v>80</v>
      </c>
      <c r="B30" s="19" t="s">
        <v>81</v>
      </c>
      <c r="C30" s="540" t="s">
        <v>82</v>
      </c>
      <c r="D30" s="541"/>
      <c r="E30" s="541"/>
      <c r="F30" s="542"/>
      <c r="G30" s="71">
        <f>'[7]Hiv.'!$I$101</f>
        <v>200000</v>
      </c>
      <c r="H30" s="72">
        <v>0</v>
      </c>
      <c r="I30" s="87">
        <v>200000</v>
      </c>
      <c r="J30" s="73"/>
      <c r="K30" s="80">
        <f t="shared" si="3"/>
        <v>200000</v>
      </c>
      <c r="L30" s="81"/>
    </row>
    <row r="31" spans="1:12" ht="25.5">
      <c r="A31" s="5" t="s">
        <v>83</v>
      </c>
      <c r="B31" s="19" t="s">
        <v>84</v>
      </c>
      <c r="C31" s="543" t="s">
        <v>85</v>
      </c>
      <c r="D31" s="543"/>
      <c r="E31" s="543"/>
      <c r="F31" s="543"/>
      <c r="G31" s="71">
        <f>'[7]Hiv.'!$I$102</f>
        <v>1675000</v>
      </c>
      <c r="H31" s="72">
        <f t="shared" si="2"/>
        <v>1675000</v>
      </c>
      <c r="I31" s="73"/>
      <c r="J31" s="73"/>
      <c r="K31" s="80">
        <f t="shared" si="3"/>
        <v>1675000</v>
      </c>
      <c r="L31" s="81"/>
    </row>
    <row r="32" spans="1:12" ht="15">
      <c r="A32" s="5" t="s">
        <v>86</v>
      </c>
      <c r="B32" s="21" t="s">
        <v>87</v>
      </c>
      <c r="C32" s="543" t="s">
        <v>88</v>
      </c>
      <c r="D32" s="543"/>
      <c r="E32" s="543"/>
      <c r="F32" s="543"/>
      <c r="G32" s="74"/>
      <c r="H32" s="82"/>
      <c r="I32" s="73"/>
      <c r="J32" s="73"/>
      <c r="K32" s="80">
        <f t="shared" si="3"/>
        <v>0</v>
      </c>
      <c r="L32" s="81"/>
    </row>
    <row r="33" spans="1:12" ht="15">
      <c r="A33" s="13" t="s">
        <v>89</v>
      </c>
      <c r="B33" s="14" t="s">
        <v>90</v>
      </c>
      <c r="C33" s="535" t="s">
        <v>91</v>
      </c>
      <c r="D33" s="535"/>
      <c r="E33" s="535"/>
      <c r="F33" s="535"/>
      <c r="G33" s="83">
        <f>SUM(G21:G32)</f>
        <v>9875000</v>
      </c>
      <c r="H33" s="83">
        <f>SUM(H21:H32)</f>
        <v>9675000</v>
      </c>
      <c r="I33" s="83">
        <f>SUM(I21:I32)</f>
        <v>200000</v>
      </c>
      <c r="J33" s="83">
        <f>SUM(J21:J32)</f>
        <v>0</v>
      </c>
      <c r="K33" s="83">
        <f>SUM(K21:K32)</f>
        <v>9875000</v>
      </c>
      <c r="L33" s="67"/>
    </row>
    <row r="34" spans="1:12" ht="15">
      <c r="A34" s="5" t="s">
        <v>92</v>
      </c>
      <c r="B34" s="10" t="s">
        <v>93</v>
      </c>
      <c r="C34" s="540" t="s">
        <v>94</v>
      </c>
      <c r="D34" s="541"/>
      <c r="E34" s="541"/>
      <c r="F34" s="542"/>
      <c r="G34" s="84"/>
      <c r="H34" s="85"/>
      <c r="I34" s="73"/>
      <c r="J34" s="73"/>
      <c r="K34" s="81"/>
      <c r="L34" s="81"/>
    </row>
    <row r="35" spans="1:12" ht="15">
      <c r="A35" s="5" t="s">
        <v>95</v>
      </c>
      <c r="B35" s="10" t="s">
        <v>96</v>
      </c>
      <c r="C35" s="540" t="s">
        <v>97</v>
      </c>
      <c r="D35" s="541"/>
      <c r="E35" s="541"/>
      <c r="F35" s="542"/>
      <c r="G35" s="84"/>
      <c r="H35" s="85"/>
      <c r="I35" s="73"/>
      <c r="J35" s="73"/>
      <c r="K35" s="81"/>
      <c r="L35" s="81"/>
    </row>
    <row r="36" spans="1:12" ht="15">
      <c r="A36" s="13" t="s">
        <v>98</v>
      </c>
      <c r="B36" s="14" t="s">
        <v>99</v>
      </c>
      <c r="C36" s="544" t="s">
        <v>100</v>
      </c>
      <c r="D36" s="534"/>
      <c r="E36" s="534"/>
      <c r="F36" s="545"/>
      <c r="G36" s="83"/>
      <c r="H36" s="79"/>
      <c r="I36" s="79"/>
      <c r="J36" s="79"/>
      <c r="K36" s="67"/>
      <c r="L36" s="67"/>
    </row>
    <row r="37" spans="1:12" ht="25.5">
      <c r="A37" s="5" t="s">
        <v>101</v>
      </c>
      <c r="B37" s="10" t="s">
        <v>102</v>
      </c>
      <c r="C37" s="540" t="s">
        <v>103</v>
      </c>
      <c r="D37" s="541"/>
      <c r="E37" s="541"/>
      <c r="F37" s="542"/>
      <c r="G37" s="84"/>
      <c r="H37" s="85"/>
      <c r="I37" s="73"/>
      <c r="J37" s="73"/>
      <c r="K37" s="81"/>
      <c r="L37" s="81"/>
    </row>
    <row r="38" spans="1:12" ht="25.5">
      <c r="A38" s="5" t="s">
        <v>104</v>
      </c>
      <c r="B38" s="10" t="s">
        <v>105</v>
      </c>
      <c r="C38" s="540" t="s">
        <v>106</v>
      </c>
      <c r="D38" s="541"/>
      <c r="E38" s="541"/>
      <c r="F38" s="542"/>
      <c r="G38" s="84"/>
      <c r="H38" s="85"/>
      <c r="I38" s="73"/>
      <c r="J38" s="73"/>
      <c r="K38" s="81"/>
      <c r="L38" s="81"/>
    </row>
    <row r="39" spans="1:12" ht="15">
      <c r="A39" s="5" t="s">
        <v>107</v>
      </c>
      <c r="B39" s="10" t="s">
        <v>108</v>
      </c>
      <c r="C39" s="540" t="s">
        <v>109</v>
      </c>
      <c r="D39" s="541"/>
      <c r="E39" s="541"/>
      <c r="F39" s="542"/>
      <c r="G39" s="84"/>
      <c r="H39" s="85"/>
      <c r="I39" s="73"/>
      <c r="J39" s="73"/>
      <c r="K39" s="81"/>
      <c r="L39" s="81"/>
    </row>
    <row r="40" spans="1:12" ht="15">
      <c r="A40" s="13" t="s">
        <v>110</v>
      </c>
      <c r="B40" s="24" t="s">
        <v>111</v>
      </c>
      <c r="C40" s="544" t="s">
        <v>112</v>
      </c>
      <c r="D40" s="534"/>
      <c r="E40" s="534"/>
      <c r="F40" s="545"/>
      <c r="G40" s="83"/>
      <c r="H40" s="79"/>
      <c r="I40" s="79"/>
      <c r="J40" s="79"/>
      <c r="K40" s="67"/>
      <c r="L40" s="67"/>
    </row>
    <row r="41" spans="1:12" ht="15">
      <c r="A41" s="5" t="s">
        <v>113</v>
      </c>
      <c r="B41" s="25" t="s">
        <v>114</v>
      </c>
      <c r="C41" s="565" t="s">
        <v>115</v>
      </c>
      <c r="D41" s="566"/>
      <c r="E41" s="566"/>
      <c r="F41" s="567"/>
      <c r="G41" s="74">
        <v>0</v>
      </c>
      <c r="H41" s="85"/>
      <c r="I41" s="82">
        <f>G41</f>
        <v>0</v>
      </c>
      <c r="J41" s="85"/>
      <c r="K41" s="86"/>
      <c r="L41" s="86"/>
    </row>
    <row r="42" spans="1:12" ht="15">
      <c r="A42" s="5" t="s">
        <v>116</v>
      </c>
      <c r="B42" s="25" t="s">
        <v>235</v>
      </c>
      <c r="C42" s="540" t="s">
        <v>236</v>
      </c>
      <c r="D42" s="541"/>
      <c r="E42" s="541"/>
      <c r="F42" s="542"/>
      <c r="G42" s="74">
        <f>'[7]Hiv.'!$I$104</f>
        <v>1000000</v>
      </c>
      <c r="H42" s="85"/>
      <c r="I42" s="82">
        <f>G42</f>
        <v>1000000</v>
      </c>
      <c r="J42" s="85"/>
      <c r="K42" s="297">
        <f>G42</f>
        <v>1000000</v>
      </c>
      <c r="L42" s="86"/>
    </row>
    <row r="43" spans="1:12" ht="25.5">
      <c r="A43" s="5" t="s">
        <v>119</v>
      </c>
      <c r="B43" s="10" t="s">
        <v>117</v>
      </c>
      <c r="C43" s="540" t="s">
        <v>118</v>
      </c>
      <c r="D43" s="541"/>
      <c r="E43" s="541"/>
      <c r="F43" s="542"/>
      <c r="G43" s="74">
        <f>'[7]Hiv.'!$I$105</f>
        <v>400000</v>
      </c>
      <c r="H43" s="82">
        <v>0</v>
      </c>
      <c r="I43" s="87">
        <f>G43</f>
        <v>400000</v>
      </c>
      <c r="J43" s="73"/>
      <c r="K43" s="80">
        <f>G43</f>
        <v>400000</v>
      </c>
      <c r="L43" s="81"/>
    </row>
    <row r="44" spans="1:12" ht="25.5">
      <c r="A44" s="5" t="s">
        <v>122</v>
      </c>
      <c r="B44" s="10" t="s">
        <v>120</v>
      </c>
      <c r="C44" s="540" t="s">
        <v>121</v>
      </c>
      <c r="D44" s="541"/>
      <c r="E44" s="541"/>
      <c r="F44" s="542"/>
      <c r="G44" s="74">
        <f>'[7]Hiv.'!$I$106</f>
        <v>378000</v>
      </c>
      <c r="H44" s="82">
        <v>0</v>
      </c>
      <c r="I44" s="87">
        <f>G44</f>
        <v>378000</v>
      </c>
      <c r="J44" s="73"/>
      <c r="K44" s="80">
        <f aca="true" t="shared" si="4" ref="K44:K50">G44</f>
        <v>378000</v>
      </c>
      <c r="L44" s="81"/>
    </row>
    <row r="45" spans="1:14" ht="15">
      <c r="A45" s="66" t="s">
        <v>125</v>
      </c>
      <c r="B45" s="14" t="s">
        <v>123</v>
      </c>
      <c r="C45" s="544" t="s">
        <v>124</v>
      </c>
      <c r="D45" s="534"/>
      <c r="E45" s="534"/>
      <c r="F45" s="545"/>
      <c r="G45" s="47">
        <f>G43+G44+G41+G42</f>
        <v>1778000</v>
      </c>
      <c r="H45" s="48"/>
      <c r="I45" s="266">
        <f>G45</f>
        <v>1778000</v>
      </c>
      <c r="J45" s="88"/>
      <c r="K45" s="89">
        <f t="shared" si="4"/>
        <v>1778000</v>
      </c>
      <c r="L45" s="67"/>
      <c r="N45" s="56"/>
    </row>
    <row r="46" spans="1:12" ht="15">
      <c r="A46" s="5" t="s">
        <v>128</v>
      </c>
      <c r="B46" s="10" t="s">
        <v>126</v>
      </c>
      <c r="C46" s="540" t="s">
        <v>127</v>
      </c>
      <c r="D46" s="541"/>
      <c r="E46" s="541"/>
      <c r="F46" s="542"/>
      <c r="G46" s="84"/>
      <c r="H46" s="85"/>
      <c r="I46" s="73"/>
      <c r="J46" s="73"/>
      <c r="K46" s="80">
        <f t="shared" si="4"/>
        <v>0</v>
      </c>
      <c r="L46" s="81"/>
    </row>
    <row r="47" spans="1:12" ht="25.5">
      <c r="A47" s="5" t="s">
        <v>131</v>
      </c>
      <c r="B47" s="10" t="s">
        <v>129</v>
      </c>
      <c r="C47" s="540" t="s">
        <v>130</v>
      </c>
      <c r="D47" s="541"/>
      <c r="E47" s="541"/>
      <c r="F47" s="542"/>
      <c r="G47" s="74"/>
      <c r="H47" s="82"/>
      <c r="I47" s="73"/>
      <c r="J47" s="73"/>
      <c r="K47" s="80">
        <f t="shared" si="4"/>
        <v>0</v>
      </c>
      <c r="L47" s="81"/>
    </row>
    <row r="48" spans="1:12" ht="15">
      <c r="A48" s="66" t="s">
        <v>134</v>
      </c>
      <c r="B48" s="14" t="s">
        <v>132</v>
      </c>
      <c r="C48" s="544" t="s">
        <v>133</v>
      </c>
      <c r="D48" s="534"/>
      <c r="E48" s="534"/>
      <c r="F48" s="545"/>
      <c r="G48" s="83"/>
      <c r="H48" s="79"/>
      <c r="I48" s="79"/>
      <c r="J48" s="79"/>
      <c r="K48" s="90">
        <f t="shared" si="4"/>
        <v>0</v>
      </c>
      <c r="L48" s="67"/>
    </row>
    <row r="49" spans="1:12" ht="38.25">
      <c r="A49" s="5" t="s">
        <v>137</v>
      </c>
      <c r="B49" s="10" t="s">
        <v>135</v>
      </c>
      <c r="C49" s="540" t="s">
        <v>136</v>
      </c>
      <c r="D49" s="541"/>
      <c r="E49" s="541"/>
      <c r="F49" s="542"/>
      <c r="G49" s="74"/>
      <c r="H49" s="82"/>
      <c r="I49" s="73"/>
      <c r="J49" s="73"/>
      <c r="K49" s="80">
        <f t="shared" si="4"/>
        <v>0</v>
      </c>
      <c r="L49" s="81"/>
    </row>
    <row r="50" spans="1:12" ht="15">
      <c r="A50" s="66" t="s">
        <v>140</v>
      </c>
      <c r="B50" s="14" t="s">
        <v>138</v>
      </c>
      <c r="C50" s="544" t="s">
        <v>139</v>
      </c>
      <c r="D50" s="534"/>
      <c r="E50" s="534"/>
      <c r="F50" s="545"/>
      <c r="G50" s="83"/>
      <c r="H50" s="79"/>
      <c r="I50" s="79"/>
      <c r="J50" s="79"/>
      <c r="K50" s="90">
        <f t="shared" si="4"/>
        <v>0</v>
      </c>
      <c r="L50" s="67"/>
    </row>
    <row r="51" spans="1:12" ht="15">
      <c r="A51" s="66" t="s">
        <v>147</v>
      </c>
      <c r="B51" s="28" t="s">
        <v>141</v>
      </c>
      <c r="C51" s="535" t="s">
        <v>142</v>
      </c>
      <c r="D51" s="535"/>
      <c r="E51" s="535"/>
      <c r="F51" s="535"/>
      <c r="G51" s="83">
        <f>G19+G20+G33+G36+G40+G45+G48+G50</f>
        <v>148230855.115</v>
      </c>
      <c r="H51" s="83">
        <f>H19+H20+H33+H36+H40+H45+H48+H50</f>
        <v>146252855.115</v>
      </c>
      <c r="I51" s="83">
        <f>I19+I20+I33+I36+I40+I45+I48+I50</f>
        <v>1978000</v>
      </c>
      <c r="J51" s="83">
        <f>J19+J20+J33+J36+J40+J45+J48+J50</f>
        <v>0</v>
      </c>
      <c r="K51" s="89">
        <f>K50+K48+K45+K40+K36+K33+K20+K19</f>
        <v>108292476.11500001</v>
      </c>
      <c r="L51" s="83">
        <f>L19+L20+L33+L36+L40+L45+L48+L50</f>
        <v>39938379</v>
      </c>
    </row>
    <row r="52" spans="1:10" ht="15">
      <c r="A52" s="29"/>
      <c r="B52" s="2"/>
      <c r="C52" s="2"/>
      <c r="D52" s="2"/>
      <c r="E52" s="2"/>
      <c r="F52" s="2"/>
      <c r="G52" s="30"/>
      <c r="H52" s="30"/>
      <c r="I52" s="68"/>
      <c r="J52" s="68"/>
    </row>
    <row r="53" spans="1:10" ht="15">
      <c r="A53" s="579" t="s">
        <v>143</v>
      </c>
      <c r="B53" s="579"/>
      <c r="C53" s="579"/>
      <c r="D53" s="579"/>
      <c r="E53" s="579"/>
      <c r="F53" s="579"/>
      <c r="G53" s="579"/>
      <c r="H53" s="579"/>
      <c r="I53" s="91"/>
      <c r="J53" s="91"/>
    </row>
    <row r="54" spans="1:10" ht="15">
      <c r="A54" s="537" t="s">
        <v>3</v>
      </c>
      <c r="B54" s="538" t="s">
        <v>4</v>
      </c>
      <c r="C54" s="539" t="s">
        <v>5</v>
      </c>
      <c r="D54" s="539"/>
      <c r="E54" s="539"/>
      <c r="F54" s="539"/>
      <c r="G54" s="611" t="s">
        <v>144</v>
      </c>
      <c r="H54" s="92"/>
      <c r="I54" s="69"/>
      <c r="J54" s="69"/>
    </row>
    <row r="55" spans="1:10" ht="15">
      <c r="A55" s="537"/>
      <c r="B55" s="538"/>
      <c r="C55" s="539"/>
      <c r="D55" s="539"/>
      <c r="E55" s="539"/>
      <c r="F55" s="539"/>
      <c r="G55" s="611"/>
      <c r="H55" s="93"/>
      <c r="I55" s="68"/>
      <c r="J55" s="68"/>
    </row>
    <row r="56" spans="1:10" ht="25.5">
      <c r="A56" s="5" t="s">
        <v>140</v>
      </c>
      <c r="B56" s="19" t="s">
        <v>145</v>
      </c>
      <c r="C56" s="543" t="s">
        <v>146</v>
      </c>
      <c r="D56" s="543"/>
      <c r="E56" s="543"/>
      <c r="F56" s="543"/>
      <c r="G56" s="72"/>
      <c r="H56" s="72"/>
      <c r="I56" s="94"/>
      <c r="J56" s="94"/>
    </row>
    <row r="57" spans="1:10" ht="25.5">
      <c r="A57" s="5" t="s">
        <v>147</v>
      </c>
      <c r="B57" s="19" t="s">
        <v>148</v>
      </c>
      <c r="C57" s="543" t="s">
        <v>149</v>
      </c>
      <c r="D57" s="543"/>
      <c r="E57" s="543"/>
      <c r="F57" s="543"/>
      <c r="G57" s="72"/>
      <c r="H57" s="72"/>
      <c r="I57" s="94"/>
      <c r="J57" s="94"/>
    </row>
    <row r="58" spans="1:10" ht="15">
      <c r="A58" s="13" t="s">
        <v>150</v>
      </c>
      <c r="B58" s="28" t="s">
        <v>151</v>
      </c>
      <c r="C58" s="535" t="s">
        <v>152</v>
      </c>
      <c r="D58" s="535"/>
      <c r="E58" s="535"/>
      <c r="F58" s="535"/>
      <c r="G58" s="79">
        <f>SUM(G56:G57)</f>
        <v>0</v>
      </c>
      <c r="H58" s="79"/>
      <c r="I58" s="94"/>
      <c r="J58" s="94"/>
    </row>
    <row r="59" spans="1:10" ht="15">
      <c r="A59" s="34"/>
      <c r="B59" s="2"/>
      <c r="C59" s="2"/>
      <c r="D59" s="2"/>
      <c r="E59" s="2"/>
      <c r="F59" s="2"/>
      <c r="G59" s="30"/>
      <c r="H59" s="30"/>
      <c r="I59" s="68"/>
      <c r="J59" s="68"/>
    </row>
    <row r="60" spans="1:11" ht="15">
      <c r="A60" s="35"/>
      <c r="B60" s="36" t="s">
        <v>153</v>
      </c>
      <c r="C60" s="534"/>
      <c r="D60" s="534"/>
      <c r="E60" s="534"/>
      <c r="F60" s="534"/>
      <c r="G60" s="95">
        <f>G51+G58</f>
        <v>148230855.115</v>
      </c>
      <c r="H60" s="95"/>
      <c r="I60" s="267"/>
      <c r="J60" s="68"/>
      <c r="K60" s="294"/>
    </row>
  </sheetData>
  <sheetProtection/>
  <mergeCells count="62">
    <mergeCell ref="C32:F32"/>
    <mergeCell ref="C33:F33"/>
    <mergeCell ref="C56:F56"/>
    <mergeCell ref="C57:F57"/>
    <mergeCell ref="C35:F35"/>
    <mergeCell ref="C36:F36"/>
    <mergeCell ref="C37:F37"/>
    <mergeCell ref="C38:F38"/>
    <mergeCell ref="C49:F49"/>
    <mergeCell ref="C50:F50"/>
    <mergeCell ref="C29:F29"/>
    <mergeCell ref="C31:F31"/>
    <mergeCell ref="C58:F58"/>
    <mergeCell ref="C60:F60"/>
    <mergeCell ref="C51:F51"/>
    <mergeCell ref="A53:H53"/>
    <mergeCell ref="A54:A55"/>
    <mergeCell ref="B54:B55"/>
    <mergeCell ref="C54:F55"/>
    <mergeCell ref="G54:G55"/>
    <mergeCell ref="C7:F7"/>
    <mergeCell ref="C11:F11"/>
    <mergeCell ref="C13:F13"/>
    <mergeCell ref="C16:F16"/>
    <mergeCell ref="C17:F17"/>
    <mergeCell ref="C18:F18"/>
    <mergeCell ref="C8:F8"/>
    <mergeCell ref="C9:F9"/>
    <mergeCell ref="C10:F10"/>
    <mergeCell ref="C12:F12"/>
    <mergeCell ref="A3:H3"/>
    <mergeCell ref="A4:H4"/>
    <mergeCell ref="A5:A6"/>
    <mergeCell ref="B5:B6"/>
    <mergeCell ref="C5:F6"/>
    <mergeCell ref="G5:G6"/>
    <mergeCell ref="C30:F30"/>
    <mergeCell ref="C34:F34"/>
    <mergeCell ref="C19:F19"/>
    <mergeCell ref="C20:F20"/>
    <mergeCell ref="C21:F21"/>
    <mergeCell ref="C23:F23"/>
    <mergeCell ref="C24:F24"/>
    <mergeCell ref="C25:F25"/>
    <mergeCell ref="C26:F26"/>
    <mergeCell ref="C28:F28"/>
    <mergeCell ref="C43:F43"/>
    <mergeCell ref="C44:F44"/>
    <mergeCell ref="C46:F46"/>
    <mergeCell ref="C47:F47"/>
    <mergeCell ref="C45:F45"/>
    <mergeCell ref="C48:F48"/>
    <mergeCell ref="C41:F41"/>
    <mergeCell ref="C42:F42"/>
    <mergeCell ref="H5:L5"/>
    <mergeCell ref="A1:L1"/>
    <mergeCell ref="C39:F39"/>
    <mergeCell ref="C40:F40"/>
    <mergeCell ref="C14:F14"/>
    <mergeCell ref="C15:F15"/>
    <mergeCell ref="C22:F22"/>
    <mergeCell ref="C27:F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31">
      <selection activeCell="H46" sqref="H46"/>
    </sheetView>
  </sheetViews>
  <sheetFormatPr defaultColWidth="9.140625" defaultRowHeight="15"/>
  <cols>
    <col min="2" max="2" width="34.140625" style="0" customWidth="1"/>
    <col min="6" max="6" width="9.28125" style="0" customWidth="1"/>
    <col min="7" max="7" width="15.8515625" style="0" bestFit="1" customWidth="1"/>
    <col min="8" max="8" width="11.421875" style="0" bestFit="1" customWidth="1"/>
    <col min="9" max="9" width="9.8515625" style="0" bestFit="1" customWidth="1"/>
    <col min="11" max="12" width="10.8515625" style="0" bestFit="1" customWidth="1"/>
  </cols>
  <sheetData>
    <row r="1" spans="1:10" ht="15">
      <c r="A1" s="549" t="s">
        <v>231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572" t="s">
        <v>232</v>
      </c>
      <c r="B3" s="572"/>
      <c r="C3" s="572"/>
      <c r="D3" s="572"/>
      <c r="E3" s="572"/>
      <c r="F3" s="572"/>
      <c r="G3" s="572"/>
      <c r="H3" s="572"/>
      <c r="I3" s="572"/>
      <c r="J3" s="572"/>
    </row>
    <row r="4" spans="1:10" ht="15">
      <c r="A4" s="573" t="s">
        <v>155</v>
      </c>
      <c r="B4" s="574"/>
      <c r="C4" s="574"/>
      <c r="D4" s="574"/>
      <c r="E4" s="574"/>
      <c r="F4" s="574"/>
      <c r="G4" s="574"/>
      <c r="H4" s="574"/>
      <c r="I4" s="574"/>
      <c r="J4" s="574"/>
    </row>
    <row r="5" spans="1:10" ht="15" customHeight="1">
      <c r="A5" s="537" t="s">
        <v>3</v>
      </c>
      <c r="B5" s="538" t="s">
        <v>4</v>
      </c>
      <c r="C5" s="539" t="s">
        <v>5</v>
      </c>
      <c r="D5" s="539"/>
      <c r="E5" s="539"/>
      <c r="F5" s="539"/>
      <c r="G5" s="546" t="s">
        <v>144</v>
      </c>
      <c r="H5" s="553" t="s">
        <v>7</v>
      </c>
      <c r="I5" s="554"/>
      <c r="J5" s="555"/>
    </row>
    <row r="6" spans="1:10" ht="38.25">
      <c r="A6" s="537"/>
      <c r="B6" s="538"/>
      <c r="C6" s="539"/>
      <c r="D6" s="539"/>
      <c r="E6" s="539"/>
      <c r="F6" s="539"/>
      <c r="G6" s="546"/>
      <c r="H6" s="4" t="s">
        <v>8</v>
      </c>
      <c r="I6" s="4" t="s">
        <v>9</v>
      </c>
      <c r="J6" s="4" t="s">
        <v>10</v>
      </c>
    </row>
    <row r="7" spans="1:10" ht="25.5">
      <c r="A7" s="5" t="s">
        <v>11</v>
      </c>
      <c r="B7" s="6" t="s">
        <v>156</v>
      </c>
      <c r="C7" s="543" t="s">
        <v>157</v>
      </c>
      <c r="D7" s="543"/>
      <c r="E7" s="543"/>
      <c r="F7" s="543"/>
      <c r="G7" s="8"/>
      <c r="H7" s="9"/>
      <c r="I7" s="9"/>
      <c r="J7" s="9"/>
    </row>
    <row r="8" spans="1:10" ht="38.25">
      <c r="A8" s="5" t="s">
        <v>14</v>
      </c>
      <c r="B8" s="10" t="s">
        <v>158</v>
      </c>
      <c r="C8" s="543" t="s">
        <v>159</v>
      </c>
      <c r="D8" s="543"/>
      <c r="E8" s="543"/>
      <c r="F8" s="543"/>
      <c r="G8" s="8"/>
      <c r="H8" s="9"/>
      <c r="I8" s="9"/>
      <c r="J8" s="9"/>
    </row>
    <row r="9" spans="1:10" ht="38.25">
      <c r="A9" s="5" t="s">
        <v>17</v>
      </c>
      <c r="B9" s="10" t="s">
        <v>160</v>
      </c>
      <c r="C9" s="543" t="s">
        <v>161</v>
      </c>
      <c r="D9" s="543"/>
      <c r="E9" s="543"/>
      <c r="F9" s="543"/>
      <c r="G9" s="8"/>
      <c r="H9" s="9"/>
      <c r="I9" s="9"/>
      <c r="J9" s="9"/>
    </row>
    <row r="10" spans="1:10" ht="38.25">
      <c r="A10" s="5" t="s">
        <v>20</v>
      </c>
      <c r="B10" s="10" t="s">
        <v>162</v>
      </c>
      <c r="C10" s="7" t="s">
        <v>163</v>
      </c>
      <c r="D10" s="7"/>
      <c r="E10" s="7"/>
      <c r="F10" s="7"/>
      <c r="G10" s="8"/>
      <c r="H10" s="9"/>
      <c r="I10" s="9"/>
      <c r="J10" s="9"/>
    </row>
    <row r="11" spans="1:10" ht="51">
      <c r="A11" s="5" t="s">
        <v>23</v>
      </c>
      <c r="B11" s="10" t="s">
        <v>164</v>
      </c>
      <c r="C11" s="7" t="s">
        <v>165</v>
      </c>
      <c r="D11" s="7"/>
      <c r="E11" s="7"/>
      <c r="F11" s="7"/>
      <c r="G11" s="8"/>
      <c r="H11" s="9"/>
      <c r="I11" s="9"/>
      <c r="J11" s="9"/>
    </row>
    <row r="12" spans="1:10" ht="25.5">
      <c r="A12" s="5" t="s">
        <v>26</v>
      </c>
      <c r="B12" s="10" t="s">
        <v>166</v>
      </c>
      <c r="C12" s="543" t="s">
        <v>167</v>
      </c>
      <c r="D12" s="543"/>
      <c r="E12" s="543"/>
      <c r="F12" s="543"/>
      <c r="G12" s="8"/>
      <c r="H12" s="9"/>
      <c r="I12" s="9"/>
      <c r="J12" s="9"/>
    </row>
    <row r="13" spans="1:10" ht="15">
      <c r="A13" s="5" t="s">
        <v>29</v>
      </c>
      <c r="B13" s="10" t="s">
        <v>168</v>
      </c>
      <c r="C13" s="543" t="s">
        <v>169</v>
      </c>
      <c r="D13" s="543"/>
      <c r="E13" s="543"/>
      <c r="F13" s="543"/>
      <c r="G13" s="8"/>
      <c r="H13" s="9"/>
      <c r="I13" s="9"/>
      <c r="J13" s="9"/>
    </row>
    <row r="14" spans="1:10" ht="38.25">
      <c r="A14" s="5" t="s">
        <v>32</v>
      </c>
      <c r="B14" s="10" t="s">
        <v>170</v>
      </c>
      <c r="C14" s="543" t="s">
        <v>171</v>
      </c>
      <c r="D14" s="543"/>
      <c r="E14" s="543"/>
      <c r="F14" s="543"/>
      <c r="G14" s="8"/>
      <c r="H14" s="9"/>
      <c r="I14" s="9"/>
      <c r="J14" s="9"/>
    </row>
    <row r="15" spans="1:10" ht="38.25">
      <c r="A15" s="13" t="s">
        <v>35</v>
      </c>
      <c r="B15" s="14" t="s">
        <v>172</v>
      </c>
      <c r="C15" s="535" t="s">
        <v>173</v>
      </c>
      <c r="D15" s="535"/>
      <c r="E15" s="535"/>
      <c r="F15" s="535"/>
      <c r="G15" s="18">
        <f>SUM(G7:G14)</f>
        <v>0</v>
      </c>
      <c r="H15" s="17"/>
      <c r="I15" s="17"/>
      <c r="J15" s="17"/>
    </row>
    <row r="16" spans="1:10" ht="38.25">
      <c r="A16" s="5" t="s">
        <v>38</v>
      </c>
      <c r="B16" s="10" t="s">
        <v>174</v>
      </c>
      <c r="C16" s="543" t="s">
        <v>175</v>
      </c>
      <c r="D16" s="543"/>
      <c r="E16" s="543"/>
      <c r="F16" s="543"/>
      <c r="G16" s="8"/>
      <c r="H16" s="12"/>
      <c r="I16" s="12"/>
      <c r="J16" s="12"/>
    </row>
    <row r="17" spans="1:10" ht="38.25">
      <c r="A17" s="13" t="s">
        <v>41</v>
      </c>
      <c r="B17" s="14" t="s">
        <v>176</v>
      </c>
      <c r="C17" s="535" t="s">
        <v>177</v>
      </c>
      <c r="D17" s="535"/>
      <c r="E17" s="535"/>
      <c r="F17" s="535"/>
      <c r="G17" s="18">
        <f>SUM(G16)</f>
        <v>0</v>
      </c>
      <c r="H17" s="17"/>
      <c r="I17" s="17"/>
      <c r="J17" s="17"/>
    </row>
    <row r="18" spans="1:10" ht="15">
      <c r="A18" s="5" t="s">
        <v>44</v>
      </c>
      <c r="B18" s="10" t="s">
        <v>178</v>
      </c>
      <c r="C18" s="543" t="s">
        <v>179</v>
      </c>
      <c r="D18" s="543"/>
      <c r="E18" s="543"/>
      <c r="F18" s="543"/>
      <c r="G18" s="8"/>
      <c r="H18" s="9"/>
      <c r="I18" s="9"/>
      <c r="J18" s="9"/>
    </row>
    <row r="19" spans="1:10" ht="15">
      <c r="A19" s="5" t="s">
        <v>47</v>
      </c>
      <c r="B19" s="10" t="s">
        <v>180</v>
      </c>
      <c r="C19" s="543" t="s">
        <v>181</v>
      </c>
      <c r="D19" s="543"/>
      <c r="E19" s="543"/>
      <c r="F19" s="543"/>
      <c r="G19" s="8"/>
      <c r="H19" s="9"/>
      <c r="I19" s="9"/>
      <c r="J19" s="9"/>
    </row>
    <row r="20" spans="1:10" ht="15">
      <c r="A20" s="5" t="s">
        <v>50</v>
      </c>
      <c r="B20" s="10" t="s">
        <v>182</v>
      </c>
      <c r="C20" s="543" t="s">
        <v>183</v>
      </c>
      <c r="D20" s="543"/>
      <c r="E20" s="543"/>
      <c r="F20" s="543"/>
      <c r="G20" s="8"/>
      <c r="H20" s="9"/>
      <c r="I20" s="9"/>
      <c r="J20" s="9"/>
    </row>
    <row r="21" spans="1:10" ht="15">
      <c r="A21" s="5" t="s">
        <v>53</v>
      </c>
      <c r="B21" s="10" t="s">
        <v>184</v>
      </c>
      <c r="C21" s="543" t="s">
        <v>185</v>
      </c>
      <c r="D21" s="543"/>
      <c r="E21" s="543"/>
      <c r="F21" s="543"/>
      <c r="G21" s="8"/>
      <c r="H21" s="9"/>
      <c r="I21" s="9"/>
      <c r="J21" s="9"/>
    </row>
    <row r="22" spans="1:10" ht="25.5">
      <c r="A22" s="13" t="s">
        <v>56</v>
      </c>
      <c r="B22" s="14" t="s">
        <v>186</v>
      </c>
      <c r="C22" s="535" t="s">
        <v>187</v>
      </c>
      <c r="D22" s="535"/>
      <c r="E22" s="535"/>
      <c r="F22" s="535"/>
      <c r="G22" s="18">
        <f>SUM(G18:G21)</f>
        <v>0</v>
      </c>
      <c r="H22" s="17"/>
      <c r="I22" s="17"/>
      <c r="J22" s="17"/>
    </row>
    <row r="23" spans="1:10" ht="15">
      <c r="A23" s="5" t="s">
        <v>59</v>
      </c>
      <c r="B23" s="19" t="s">
        <v>188</v>
      </c>
      <c r="C23" s="543" t="s">
        <v>189</v>
      </c>
      <c r="D23" s="543"/>
      <c r="E23" s="543"/>
      <c r="F23" s="543"/>
      <c r="G23" s="8"/>
      <c r="H23" s="9"/>
      <c r="I23" s="9"/>
      <c r="J23" s="9"/>
    </row>
    <row r="24" spans="1:10" ht="15">
      <c r="A24" s="5" t="s">
        <v>62</v>
      </c>
      <c r="B24" s="19" t="s">
        <v>190</v>
      </c>
      <c r="C24" s="543" t="s">
        <v>191</v>
      </c>
      <c r="D24" s="543"/>
      <c r="E24" s="543"/>
      <c r="F24" s="543"/>
      <c r="G24" s="49">
        <f>'[3]Bev.Óvoda'!$E$39</f>
        <v>14656003.937007874</v>
      </c>
      <c r="H24" s="8">
        <v>0</v>
      </c>
      <c r="I24" s="8">
        <f>G24</f>
        <v>14656003.937007874</v>
      </c>
      <c r="J24" s="9"/>
    </row>
    <row r="25" spans="1:10" ht="25.5">
      <c r="A25" s="5" t="s">
        <v>65</v>
      </c>
      <c r="B25" s="19" t="s">
        <v>192</v>
      </c>
      <c r="C25" s="543" t="s">
        <v>193</v>
      </c>
      <c r="D25" s="543"/>
      <c r="E25" s="543"/>
      <c r="F25" s="543"/>
      <c r="G25" s="8"/>
      <c r="H25" s="9"/>
      <c r="I25" s="12"/>
      <c r="J25" s="9"/>
    </row>
    <row r="26" spans="1:10" ht="15">
      <c r="A26" s="5" t="s">
        <v>68</v>
      </c>
      <c r="B26" s="19" t="s">
        <v>194</v>
      </c>
      <c r="C26" s="543" t="s">
        <v>195</v>
      </c>
      <c r="D26" s="543"/>
      <c r="E26" s="543"/>
      <c r="F26" s="543"/>
      <c r="G26" s="8"/>
      <c r="H26" s="9"/>
      <c r="I26" s="9"/>
      <c r="J26" s="9"/>
    </row>
    <row r="27" spans="1:10" ht="15">
      <c r="A27" s="5" t="s">
        <v>71</v>
      </c>
      <c r="B27" s="19" t="s">
        <v>196</v>
      </c>
      <c r="C27" s="543" t="s">
        <v>197</v>
      </c>
      <c r="D27" s="543"/>
      <c r="E27" s="543"/>
      <c r="F27" s="543"/>
      <c r="G27" s="8">
        <f>'[7]Bev.Óvoda'!$E$40</f>
        <v>14585386.61417323</v>
      </c>
      <c r="H27" s="8">
        <f>G27</f>
        <v>14585386.61417323</v>
      </c>
      <c r="I27" s="9"/>
      <c r="J27" s="9"/>
    </row>
    <row r="28" spans="1:10" ht="15">
      <c r="A28" s="5" t="s">
        <v>74</v>
      </c>
      <c r="B28" s="19" t="s">
        <v>198</v>
      </c>
      <c r="C28" s="543" t="s">
        <v>199</v>
      </c>
      <c r="D28" s="543"/>
      <c r="E28" s="543"/>
      <c r="F28" s="543"/>
      <c r="G28" s="8">
        <f>(G24+G27)*0.27</f>
        <v>7895175.448818899</v>
      </c>
      <c r="H28" s="8">
        <f>H27*0.27</f>
        <v>3938054.385826772</v>
      </c>
      <c r="I28" s="8">
        <f>I24*0.27</f>
        <v>3957121.062992126</v>
      </c>
      <c r="J28" s="9"/>
    </row>
    <row r="29" spans="1:10" ht="15">
      <c r="A29" s="13" t="s">
        <v>77</v>
      </c>
      <c r="B29" s="39" t="s">
        <v>200</v>
      </c>
      <c r="C29" s="535" t="s">
        <v>201</v>
      </c>
      <c r="D29" s="535"/>
      <c r="E29" s="535"/>
      <c r="F29" s="535"/>
      <c r="G29" s="18">
        <f>SUM(G23:G28)</f>
        <v>37136566</v>
      </c>
      <c r="H29" s="18">
        <f>SUM(H23:H28)</f>
        <v>18523441</v>
      </c>
      <c r="I29" s="18">
        <f>SUM(I23:I28)</f>
        <v>18613125</v>
      </c>
      <c r="J29" s="17"/>
    </row>
    <row r="30" spans="1:10" ht="15">
      <c r="A30" s="40" t="s">
        <v>80</v>
      </c>
      <c r="B30" s="21" t="s">
        <v>202</v>
      </c>
      <c r="C30" s="7" t="s">
        <v>203</v>
      </c>
      <c r="D30" s="22"/>
      <c r="E30" s="22"/>
      <c r="F30" s="22"/>
      <c r="G30" s="45"/>
      <c r="H30" s="9"/>
      <c r="I30" s="9"/>
      <c r="J30" s="9"/>
    </row>
    <row r="31" spans="1:10" ht="15">
      <c r="A31" s="13" t="s">
        <v>83</v>
      </c>
      <c r="B31" s="39" t="s">
        <v>204</v>
      </c>
      <c r="C31" s="64" t="s">
        <v>203</v>
      </c>
      <c r="D31" s="64"/>
      <c r="E31" s="64"/>
      <c r="F31" s="64"/>
      <c r="G31" s="18"/>
      <c r="H31" s="17"/>
      <c r="I31" s="17"/>
      <c r="J31" s="17"/>
    </row>
    <row r="32" spans="1:10" ht="38.25">
      <c r="A32" s="5" t="s">
        <v>86</v>
      </c>
      <c r="B32" s="10" t="s">
        <v>206</v>
      </c>
      <c r="C32" s="543" t="s">
        <v>207</v>
      </c>
      <c r="D32" s="543"/>
      <c r="E32" s="543"/>
      <c r="F32" s="543"/>
      <c r="G32" s="8"/>
      <c r="H32" s="9"/>
      <c r="I32" s="9"/>
      <c r="J32" s="9"/>
    </row>
    <row r="33" spans="1:10" ht="15">
      <c r="A33" s="13" t="s">
        <v>89</v>
      </c>
      <c r="B33" s="14" t="s">
        <v>208</v>
      </c>
      <c r="C33" s="535" t="s">
        <v>209</v>
      </c>
      <c r="D33" s="535"/>
      <c r="E33" s="535"/>
      <c r="F33" s="535"/>
      <c r="G33" s="18">
        <f>SUM(G32)</f>
        <v>0</v>
      </c>
      <c r="H33" s="17"/>
      <c r="I33" s="17"/>
      <c r="J33" s="17"/>
    </row>
    <row r="34" spans="1:10" ht="25.5">
      <c r="A34" s="5" t="s">
        <v>92</v>
      </c>
      <c r="B34" s="10" t="s">
        <v>210</v>
      </c>
      <c r="C34" s="22" t="s">
        <v>211</v>
      </c>
      <c r="D34" s="22"/>
      <c r="E34" s="22"/>
      <c r="F34" s="22"/>
      <c r="G34" s="45"/>
      <c r="H34" s="9"/>
      <c r="I34" s="9"/>
      <c r="J34" s="9"/>
    </row>
    <row r="35" spans="1:10" ht="15">
      <c r="A35" s="13" t="s">
        <v>95</v>
      </c>
      <c r="B35" s="14" t="s">
        <v>212</v>
      </c>
      <c r="C35" s="535" t="s">
        <v>213</v>
      </c>
      <c r="D35" s="535"/>
      <c r="E35" s="535"/>
      <c r="F35" s="535"/>
      <c r="G35" s="18">
        <f>SUM(G34)</f>
        <v>0</v>
      </c>
      <c r="H35" s="46"/>
      <c r="I35" s="46"/>
      <c r="J35" s="46"/>
    </row>
    <row r="36" spans="1:10" ht="25.5">
      <c r="A36" s="13" t="s">
        <v>98</v>
      </c>
      <c r="B36" s="28" t="s">
        <v>214</v>
      </c>
      <c r="C36" s="535" t="s">
        <v>215</v>
      </c>
      <c r="D36" s="535"/>
      <c r="E36" s="535"/>
      <c r="F36" s="535"/>
      <c r="G36" s="18">
        <f>G15+G17+G22+G29+G33+G35</f>
        <v>37136566</v>
      </c>
      <c r="H36" s="18">
        <f>H35+H33+H31+H29+H22+H17+H15</f>
        <v>18523441</v>
      </c>
      <c r="I36" s="18">
        <f>I35+I33+I31+I29+I22+I17+I15</f>
        <v>18613125</v>
      </c>
      <c r="J36" s="17"/>
    </row>
    <row r="37" spans="1:10" ht="15">
      <c r="A37" s="29"/>
      <c r="B37" s="2"/>
      <c r="C37" s="2"/>
      <c r="D37" s="2"/>
      <c r="E37" s="2"/>
      <c r="F37" s="2"/>
      <c r="G37" s="30"/>
      <c r="H37" s="2"/>
      <c r="I37" s="2"/>
      <c r="J37" s="2"/>
    </row>
    <row r="38" spans="1:10" ht="15">
      <c r="A38" s="579" t="s">
        <v>216</v>
      </c>
      <c r="B38" s="579"/>
      <c r="C38" s="579"/>
      <c r="D38" s="579"/>
      <c r="E38" s="579"/>
      <c r="F38" s="579"/>
      <c r="G38" s="579"/>
      <c r="H38" s="558"/>
      <c r="I38" s="558"/>
      <c r="J38" s="558"/>
    </row>
    <row r="39" spans="1:10" ht="15" customHeight="1">
      <c r="A39" s="537" t="s">
        <v>3</v>
      </c>
      <c r="B39" s="538" t="s">
        <v>4</v>
      </c>
      <c r="C39" s="539" t="s">
        <v>5</v>
      </c>
      <c r="D39" s="539"/>
      <c r="E39" s="539"/>
      <c r="F39" s="539"/>
      <c r="G39" s="546" t="s">
        <v>144</v>
      </c>
      <c r="H39" s="602"/>
      <c r="I39" s="602"/>
      <c r="J39" s="602"/>
    </row>
    <row r="40" spans="1:10" ht="15">
      <c r="A40" s="537"/>
      <c r="B40" s="538"/>
      <c r="C40" s="539"/>
      <c r="D40" s="539"/>
      <c r="E40" s="539"/>
      <c r="F40" s="539"/>
      <c r="G40" s="546"/>
      <c r="H40" s="289"/>
      <c r="I40" s="289"/>
      <c r="J40" s="289"/>
    </row>
    <row r="41" spans="1:12" ht="25.5">
      <c r="A41" s="5" t="s">
        <v>101</v>
      </c>
      <c r="B41" s="19" t="s">
        <v>217</v>
      </c>
      <c r="C41" s="543" t="s">
        <v>218</v>
      </c>
      <c r="D41" s="543"/>
      <c r="E41" s="543"/>
      <c r="F41" s="543"/>
      <c r="G41" s="8">
        <v>4904741</v>
      </c>
      <c r="H41" s="290"/>
      <c r="I41" s="287"/>
      <c r="J41" s="287"/>
      <c r="L41" s="56"/>
    </row>
    <row r="42" spans="1:12" ht="15">
      <c r="A42" s="5" t="s">
        <v>104</v>
      </c>
      <c r="B42" s="19" t="s">
        <v>219</v>
      </c>
      <c r="C42" s="543" t="s">
        <v>220</v>
      </c>
      <c r="D42" s="543"/>
      <c r="E42" s="543"/>
      <c r="F42" s="543"/>
      <c r="G42" s="8"/>
      <c r="H42" s="287"/>
      <c r="I42" s="287"/>
      <c r="J42" s="287"/>
      <c r="L42" s="56"/>
    </row>
    <row r="43" spans="1:12" ht="15">
      <c r="A43" s="5" t="s">
        <v>107</v>
      </c>
      <c r="B43" s="19" t="s">
        <v>221</v>
      </c>
      <c r="C43" s="41" t="s">
        <v>222</v>
      </c>
      <c r="D43" s="42"/>
      <c r="E43" s="42"/>
      <c r="F43" s="43"/>
      <c r="G43" s="8">
        <f>'Óvoda kiad.'!G60-G36-G41</f>
        <v>229115106.41000003</v>
      </c>
      <c r="H43" s="290"/>
      <c r="I43" s="317"/>
      <c r="J43" s="317"/>
      <c r="L43" s="56"/>
    </row>
    <row r="44" spans="1:10" ht="15">
      <c r="A44" s="13" t="s">
        <v>110</v>
      </c>
      <c r="B44" s="28" t="s">
        <v>223</v>
      </c>
      <c r="C44" s="544" t="s">
        <v>224</v>
      </c>
      <c r="D44" s="534"/>
      <c r="E44" s="534"/>
      <c r="F44" s="545"/>
      <c r="G44" s="18">
        <f>G41+G43</f>
        <v>234019847.41000003</v>
      </c>
      <c r="H44" s="291"/>
      <c r="I44" s="317"/>
      <c r="J44" s="287"/>
    </row>
    <row r="45" spans="1:10" ht="15">
      <c r="A45" s="34"/>
      <c r="B45" s="2"/>
      <c r="C45" s="2"/>
      <c r="D45" s="2"/>
      <c r="E45" s="2"/>
      <c r="F45" s="2"/>
      <c r="G45" s="30"/>
      <c r="H45" s="287"/>
      <c r="I45" s="287"/>
      <c r="J45" s="287"/>
    </row>
    <row r="46" spans="1:11" ht="15">
      <c r="A46" s="35"/>
      <c r="B46" s="36" t="s">
        <v>225</v>
      </c>
      <c r="C46" s="534"/>
      <c r="D46" s="534"/>
      <c r="E46" s="534"/>
      <c r="F46" s="534"/>
      <c r="G46" s="293">
        <f>G44+G36</f>
        <v>271156413.41</v>
      </c>
      <c r="H46" s="291"/>
      <c r="I46" s="287"/>
      <c r="J46" s="287"/>
      <c r="K46" s="56"/>
    </row>
    <row r="47" spans="8:10" ht="15">
      <c r="H47" s="288"/>
      <c r="I47" s="288"/>
      <c r="J47" s="288"/>
    </row>
  </sheetData>
  <sheetProtection/>
  <mergeCells count="43">
    <mergeCell ref="G39:G40"/>
    <mergeCell ref="C35:F35"/>
    <mergeCell ref="C41:F41"/>
    <mergeCell ref="C42:F42"/>
    <mergeCell ref="C44:F44"/>
    <mergeCell ref="C46:F46"/>
    <mergeCell ref="C36:F36"/>
    <mergeCell ref="A38:J38"/>
    <mergeCell ref="A39:A40"/>
    <mergeCell ref="B39:B40"/>
    <mergeCell ref="C39:F40"/>
    <mergeCell ref="C23:F23"/>
    <mergeCell ref="C24:F24"/>
    <mergeCell ref="C25:F25"/>
    <mergeCell ref="C26:F26"/>
    <mergeCell ref="H39:J39"/>
    <mergeCell ref="C27:F27"/>
    <mergeCell ref="C28:F28"/>
    <mergeCell ref="C29:F29"/>
    <mergeCell ref="C32:F32"/>
    <mergeCell ref="C33:F33"/>
    <mergeCell ref="C17:F17"/>
    <mergeCell ref="C18:F18"/>
    <mergeCell ref="C19:F19"/>
    <mergeCell ref="C20:F20"/>
    <mergeCell ref="C21:F21"/>
    <mergeCell ref="C22:F22"/>
    <mergeCell ref="C15:F15"/>
    <mergeCell ref="C16:F16"/>
    <mergeCell ref="C8:F8"/>
    <mergeCell ref="C9:F9"/>
    <mergeCell ref="C12:F12"/>
    <mergeCell ref="C13:F13"/>
    <mergeCell ref="C14:F14"/>
    <mergeCell ref="C7:F7"/>
    <mergeCell ref="A1:J1"/>
    <mergeCell ref="A3:J3"/>
    <mergeCell ref="A4:J4"/>
    <mergeCell ref="A5:A6"/>
    <mergeCell ref="B5:B6"/>
    <mergeCell ref="C5:F6"/>
    <mergeCell ref="G5:G6"/>
    <mergeCell ref="H5:J5"/>
  </mergeCells>
  <printOptions/>
  <pageMargins left="0.7" right="0.7" top="0.75" bottom="0.75" header="0.3" footer="0.3"/>
  <pageSetup horizontalDpi="600" verticalDpi="600" orientation="portrait" paperSize="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49">
      <selection activeCell="N22" sqref="N22"/>
    </sheetView>
  </sheetViews>
  <sheetFormatPr defaultColWidth="9.140625" defaultRowHeight="15"/>
  <cols>
    <col min="2" max="2" width="34.28125" style="0" customWidth="1"/>
    <col min="7" max="7" width="15.8515625" style="0" bestFit="1" customWidth="1"/>
    <col min="8" max="8" width="10.8515625" style="0" bestFit="1" customWidth="1"/>
    <col min="9" max="9" width="9.8515625" style="0" bestFit="1" customWidth="1"/>
    <col min="10" max="10" width="6.28125" style="0" bestFit="1" customWidth="1"/>
    <col min="13" max="13" width="16.140625" style="0" bestFit="1" customWidth="1"/>
    <col min="14" max="14" width="10.7109375" style="0" bestFit="1" customWidth="1"/>
    <col min="15" max="15" width="15.28125" style="0" bestFit="1" customWidth="1"/>
  </cols>
  <sheetData>
    <row r="1" spans="1:17" ht="15">
      <c r="A1" s="549" t="s">
        <v>233</v>
      </c>
      <c r="B1" s="549"/>
      <c r="C1" s="549"/>
      <c r="D1" s="549"/>
      <c r="E1" s="549"/>
      <c r="F1" s="549"/>
      <c r="G1" s="549"/>
      <c r="H1" s="2"/>
      <c r="I1" s="2"/>
      <c r="J1" s="2"/>
      <c r="K1" s="2"/>
      <c r="L1" s="2"/>
      <c r="M1" s="251"/>
      <c r="N1" s="251"/>
      <c r="O1" s="251"/>
      <c r="P1" s="2"/>
      <c r="Q1" s="2"/>
    </row>
    <row r="2" spans="1:17" ht="1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51"/>
      <c r="N2" s="251"/>
      <c r="O2" s="251"/>
      <c r="P2" s="2"/>
      <c r="Q2" s="2"/>
    </row>
    <row r="3" spans="1:17" ht="15">
      <c r="A3" s="572" t="s">
        <v>232</v>
      </c>
      <c r="B3" s="572"/>
      <c r="C3" s="572"/>
      <c r="D3" s="572"/>
      <c r="E3" s="572"/>
      <c r="F3" s="572"/>
      <c r="G3" s="572"/>
      <c r="H3" s="3"/>
      <c r="I3" s="3"/>
      <c r="J3" s="3"/>
      <c r="K3" s="3"/>
      <c r="L3" s="3"/>
      <c r="M3" s="252"/>
      <c r="N3" s="252"/>
      <c r="O3" s="252"/>
      <c r="P3" s="3"/>
      <c r="Q3" s="3"/>
    </row>
    <row r="4" spans="1:17" ht="15">
      <c r="A4" s="573" t="s">
        <v>2</v>
      </c>
      <c r="B4" s="574"/>
      <c r="C4" s="574"/>
      <c r="D4" s="574"/>
      <c r="E4" s="574"/>
      <c r="F4" s="574"/>
      <c r="G4" s="574"/>
      <c r="H4" s="3"/>
      <c r="I4" s="3"/>
      <c r="J4" s="3"/>
      <c r="K4" s="3"/>
      <c r="L4" s="3"/>
      <c r="M4" s="252"/>
      <c r="N4" s="252"/>
      <c r="O4" s="252"/>
      <c r="P4" s="3"/>
      <c r="Q4" s="3"/>
    </row>
    <row r="5" spans="1:17" ht="15" customHeight="1">
      <c r="A5" s="537" t="s">
        <v>3</v>
      </c>
      <c r="B5" s="538" t="s">
        <v>4</v>
      </c>
      <c r="C5" s="539" t="s">
        <v>5</v>
      </c>
      <c r="D5" s="539"/>
      <c r="E5" s="539"/>
      <c r="F5" s="539"/>
      <c r="G5" s="546" t="s">
        <v>144</v>
      </c>
      <c r="H5" s="553" t="s">
        <v>7</v>
      </c>
      <c r="I5" s="554"/>
      <c r="J5" s="555"/>
      <c r="K5" s="3"/>
      <c r="L5" s="3"/>
      <c r="M5" s="252"/>
      <c r="N5" s="252"/>
      <c r="O5" s="252"/>
      <c r="P5" s="3"/>
      <c r="Q5" s="3"/>
    </row>
    <row r="6" spans="1:17" ht="38.25">
      <c r="A6" s="537"/>
      <c r="B6" s="538"/>
      <c r="C6" s="539"/>
      <c r="D6" s="539"/>
      <c r="E6" s="539"/>
      <c r="F6" s="539"/>
      <c r="G6" s="546"/>
      <c r="H6" s="4" t="s">
        <v>8</v>
      </c>
      <c r="I6" s="4" t="s">
        <v>9</v>
      </c>
      <c r="J6" s="4" t="s">
        <v>10</v>
      </c>
      <c r="K6" s="2"/>
      <c r="L6" s="2"/>
      <c r="M6" s="251"/>
      <c r="N6" s="251"/>
      <c r="O6" s="251"/>
      <c r="P6" s="2"/>
      <c r="Q6" s="2"/>
    </row>
    <row r="7" spans="1:17" ht="15">
      <c r="A7" s="5" t="s">
        <v>11</v>
      </c>
      <c r="B7" s="6" t="s">
        <v>12</v>
      </c>
      <c r="C7" s="540" t="s">
        <v>13</v>
      </c>
      <c r="D7" s="541"/>
      <c r="E7" s="541"/>
      <c r="F7" s="542"/>
      <c r="G7" s="8">
        <v>144439793</v>
      </c>
      <c r="H7" s="8">
        <f>G7</f>
        <v>144439793</v>
      </c>
      <c r="I7" s="8"/>
      <c r="J7" s="9"/>
      <c r="K7" s="2"/>
      <c r="L7" s="2"/>
      <c r="M7" s="376"/>
      <c r="N7" s="376"/>
      <c r="O7" s="376"/>
      <c r="P7" s="387"/>
      <c r="Q7" s="2"/>
    </row>
    <row r="8" spans="1:17" ht="15">
      <c r="A8" s="5" t="s">
        <v>14</v>
      </c>
      <c r="B8" s="6" t="s">
        <v>15</v>
      </c>
      <c r="C8" s="7" t="s">
        <v>16</v>
      </c>
      <c r="D8" s="7"/>
      <c r="E8" s="7"/>
      <c r="F8" s="7"/>
      <c r="G8" s="8">
        <f>'[7]Ovi'!$I$98</f>
        <v>6784000</v>
      </c>
      <c r="H8" s="8">
        <v>0</v>
      </c>
      <c r="I8" s="8">
        <f>G8</f>
        <v>6784000</v>
      </c>
      <c r="J8" s="9"/>
      <c r="K8" s="2"/>
      <c r="L8" s="2"/>
      <c r="M8" s="388"/>
      <c r="N8" s="388"/>
      <c r="O8" s="374"/>
      <c r="P8" s="389"/>
      <c r="Q8" s="2"/>
    </row>
    <row r="9" spans="1:17" ht="25.5">
      <c r="A9" s="5" t="s">
        <v>17</v>
      </c>
      <c r="B9" s="6" t="s">
        <v>234</v>
      </c>
      <c r="C9" s="7" t="s">
        <v>19</v>
      </c>
      <c r="D9" s="7"/>
      <c r="E9" s="7"/>
      <c r="F9" s="7"/>
      <c r="G9" s="8"/>
      <c r="H9" s="8">
        <f aca="true" t="shared" si="0" ref="H9:H17">G9</f>
        <v>0</v>
      </c>
      <c r="I9" s="9"/>
      <c r="J9" s="9"/>
      <c r="K9" s="2"/>
      <c r="L9" s="2"/>
      <c r="M9" s="388"/>
      <c r="N9" s="388"/>
      <c r="O9" s="374"/>
      <c r="P9" s="389"/>
      <c r="Q9" s="2"/>
    </row>
    <row r="10" spans="1:17" ht="15">
      <c r="A10" s="5" t="s">
        <v>20</v>
      </c>
      <c r="B10" s="6" t="s">
        <v>21</v>
      </c>
      <c r="C10" s="7" t="s">
        <v>22</v>
      </c>
      <c r="D10" s="7"/>
      <c r="E10" s="7"/>
      <c r="F10" s="7"/>
      <c r="G10" s="8">
        <f>'[7]Ovi'!$I$77</f>
        <v>5963224</v>
      </c>
      <c r="H10" s="8">
        <f t="shared" si="0"/>
        <v>5963224</v>
      </c>
      <c r="I10" s="9"/>
      <c r="J10" s="9"/>
      <c r="K10" s="2"/>
      <c r="L10" s="2"/>
      <c r="M10" s="388"/>
      <c r="N10" s="388"/>
      <c r="O10" s="374"/>
      <c r="P10" s="389"/>
      <c r="Q10" s="2"/>
    </row>
    <row r="11" spans="1:17" ht="15">
      <c r="A11" s="5" t="s">
        <v>23</v>
      </c>
      <c r="B11" s="10" t="s">
        <v>24</v>
      </c>
      <c r="C11" s="543" t="s">
        <v>25</v>
      </c>
      <c r="D11" s="543"/>
      <c r="E11" s="543"/>
      <c r="F11" s="543"/>
      <c r="G11" s="8">
        <v>5292000</v>
      </c>
      <c r="H11" s="8">
        <f t="shared" si="0"/>
        <v>5292000</v>
      </c>
      <c r="I11" s="9"/>
      <c r="J11" s="9"/>
      <c r="K11" s="2"/>
      <c r="L11" s="2"/>
      <c r="M11" s="388"/>
      <c r="N11" s="388"/>
      <c r="O11" s="374"/>
      <c r="P11" s="389"/>
      <c r="Q11" s="2"/>
    </row>
    <row r="12" spans="1:17" ht="15">
      <c r="A12" s="5" t="s">
        <v>26</v>
      </c>
      <c r="B12" s="10" t="s">
        <v>27</v>
      </c>
      <c r="C12" s="7" t="s">
        <v>28</v>
      </c>
      <c r="D12" s="7"/>
      <c r="E12" s="7"/>
      <c r="F12" s="7"/>
      <c r="G12" s="8">
        <f>'[7]Ovi'!$I$79</f>
        <v>0</v>
      </c>
      <c r="H12" s="8">
        <f t="shared" si="0"/>
        <v>0</v>
      </c>
      <c r="I12" s="9"/>
      <c r="J12" s="9"/>
      <c r="K12" s="2"/>
      <c r="L12" s="2"/>
      <c r="M12" s="390"/>
      <c r="N12" s="388"/>
      <c r="O12" s="374"/>
      <c r="P12" s="389"/>
      <c r="Q12" s="2"/>
    </row>
    <row r="13" spans="1:17" ht="15">
      <c r="A13" s="5" t="s">
        <v>29</v>
      </c>
      <c r="B13" s="10" t="s">
        <v>30</v>
      </c>
      <c r="C13" s="543" t="s">
        <v>31</v>
      </c>
      <c r="D13" s="543"/>
      <c r="E13" s="543"/>
      <c r="F13" s="543"/>
      <c r="G13" s="8">
        <v>1553880</v>
      </c>
      <c r="H13" s="8">
        <f t="shared" si="0"/>
        <v>1553880</v>
      </c>
      <c r="I13" s="9"/>
      <c r="J13" s="9"/>
      <c r="K13" s="2"/>
      <c r="L13" s="2"/>
      <c r="M13" s="388"/>
      <c r="N13" s="388"/>
      <c r="O13" s="388"/>
      <c r="P13" s="389"/>
      <c r="Q13" s="2"/>
    </row>
    <row r="14" spans="1:17" ht="15">
      <c r="A14" s="5" t="s">
        <v>32</v>
      </c>
      <c r="B14" s="10" t="s">
        <v>33</v>
      </c>
      <c r="C14" s="7" t="s">
        <v>34</v>
      </c>
      <c r="D14" s="7"/>
      <c r="E14" s="7"/>
      <c r="F14" s="7"/>
      <c r="G14" s="8">
        <f>'[7]Ovi'!$I$81</f>
        <v>0</v>
      </c>
      <c r="H14" s="8">
        <v>0</v>
      </c>
      <c r="I14" s="8">
        <f>G14</f>
        <v>0</v>
      </c>
      <c r="J14" s="9"/>
      <c r="K14" s="2"/>
      <c r="L14" s="2"/>
      <c r="M14" s="388"/>
      <c r="N14" s="388"/>
      <c r="O14" s="388"/>
      <c r="P14" s="389"/>
      <c r="Q14" s="2"/>
    </row>
    <row r="15" spans="1:17" ht="15">
      <c r="A15" s="5" t="s">
        <v>35</v>
      </c>
      <c r="B15" s="10" t="s">
        <v>36</v>
      </c>
      <c r="C15" s="7" t="s">
        <v>37</v>
      </c>
      <c r="D15" s="7"/>
      <c r="E15" s="7"/>
      <c r="F15" s="7"/>
      <c r="G15" s="8">
        <v>0</v>
      </c>
      <c r="H15" s="8">
        <f t="shared" si="0"/>
        <v>0</v>
      </c>
      <c r="I15" s="9"/>
      <c r="J15" s="9"/>
      <c r="K15" s="2"/>
      <c r="L15" s="2"/>
      <c r="M15" s="388"/>
      <c r="N15" s="388"/>
      <c r="O15" s="388"/>
      <c r="P15" s="389"/>
      <c r="Q15" s="2"/>
    </row>
    <row r="16" spans="1:17" ht="15">
      <c r="A16" s="5" t="s">
        <v>38</v>
      </c>
      <c r="B16" s="10" t="s">
        <v>39</v>
      </c>
      <c r="C16" s="543" t="s">
        <v>40</v>
      </c>
      <c r="D16" s="543"/>
      <c r="E16" s="543"/>
      <c r="F16" s="543"/>
      <c r="G16" s="8"/>
      <c r="H16" s="8">
        <f t="shared" si="0"/>
        <v>0</v>
      </c>
      <c r="I16" s="9"/>
      <c r="J16" s="9"/>
      <c r="K16" s="2"/>
      <c r="L16" s="2"/>
      <c r="M16" s="388"/>
      <c r="N16" s="388"/>
      <c r="O16" s="390"/>
      <c r="P16" s="389"/>
      <c r="Q16" s="2"/>
    </row>
    <row r="17" spans="1:17" ht="38.25">
      <c r="A17" s="5" t="s">
        <v>41</v>
      </c>
      <c r="B17" s="10" t="s">
        <v>42</v>
      </c>
      <c r="C17" s="543" t="s">
        <v>43</v>
      </c>
      <c r="D17" s="543"/>
      <c r="E17" s="543"/>
      <c r="F17" s="543"/>
      <c r="G17" s="11">
        <v>3677500</v>
      </c>
      <c r="H17" s="8">
        <f t="shared" si="0"/>
        <v>3677500</v>
      </c>
      <c r="I17" s="12"/>
      <c r="J17" s="12"/>
      <c r="K17" s="32"/>
      <c r="L17" s="32"/>
      <c r="M17" s="391"/>
      <c r="N17" s="391"/>
      <c r="O17" s="391"/>
      <c r="P17" s="287"/>
      <c r="Q17" s="32"/>
    </row>
    <row r="18" spans="1:17" ht="15">
      <c r="A18" s="5" t="s">
        <v>44</v>
      </c>
      <c r="B18" s="10" t="s">
        <v>45</v>
      </c>
      <c r="C18" s="543" t="s">
        <v>46</v>
      </c>
      <c r="D18" s="543"/>
      <c r="E18" s="543"/>
      <c r="F18" s="543"/>
      <c r="G18" s="8">
        <f>0</f>
        <v>0</v>
      </c>
      <c r="H18" s="8">
        <v>0</v>
      </c>
      <c r="I18" s="9"/>
      <c r="J18" s="9"/>
      <c r="K18" s="2"/>
      <c r="L18" s="2"/>
      <c r="M18" s="388"/>
      <c r="N18" s="388"/>
      <c r="O18" s="388"/>
      <c r="P18" s="389"/>
      <c r="Q18" s="2"/>
    </row>
    <row r="19" spans="1:17" ht="15">
      <c r="A19" s="13" t="s">
        <v>47</v>
      </c>
      <c r="B19" s="14" t="s">
        <v>48</v>
      </c>
      <c r="C19" s="535" t="s">
        <v>49</v>
      </c>
      <c r="D19" s="535"/>
      <c r="E19" s="535"/>
      <c r="F19" s="535"/>
      <c r="G19" s="15">
        <f>SUM(G7:G18)</f>
        <v>167710397</v>
      </c>
      <c r="H19" s="15">
        <f>SUM(H7:H18)</f>
        <v>160926397</v>
      </c>
      <c r="I19" s="15">
        <f>SUM(I7:I18)</f>
        <v>6784000</v>
      </c>
      <c r="J19" s="15">
        <f>SUM(J7:J18)</f>
        <v>0</v>
      </c>
      <c r="K19" s="32"/>
      <c r="L19" s="32"/>
      <c r="M19" s="255"/>
      <c r="N19" s="255"/>
      <c r="O19" s="255"/>
      <c r="P19" s="32"/>
      <c r="Q19" s="32"/>
    </row>
    <row r="20" spans="1:17" ht="25.5">
      <c r="A20" s="13" t="s">
        <v>50</v>
      </c>
      <c r="B20" s="14" t="s">
        <v>51</v>
      </c>
      <c r="C20" s="535" t="s">
        <v>52</v>
      </c>
      <c r="D20" s="535"/>
      <c r="E20" s="535"/>
      <c r="F20" s="535"/>
      <c r="G20" s="18">
        <f>((G7+G8+G10+G11+G17)*0.13)+G11*0.15</f>
        <v>22394147.21</v>
      </c>
      <c r="H20" s="18">
        <f>((H7+H8+H10+H11+H17)*0.13)+H11*0.15</f>
        <v>21512227.21</v>
      </c>
      <c r="I20" s="18">
        <f>((I7+I8+I10+I11+I17)*0.13)+I11*0.15</f>
        <v>881920</v>
      </c>
      <c r="J20" s="18">
        <v>0</v>
      </c>
      <c r="K20" s="32"/>
      <c r="L20" s="32"/>
      <c r="M20" s="255"/>
      <c r="N20" s="255"/>
      <c r="O20" s="255"/>
      <c r="P20" s="32"/>
      <c r="Q20" s="32"/>
    </row>
    <row r="21" spans="1:17" ht="15">
      <c r="A21" s="5" t="s">
        <v>53</v>
      </c>
      <c r="B21" s="10" t="s">
        <v>54</v>
      </c>
      <c r="C21" s="543" t="s">
        <v>55</v>
      </c>
      <c r="D21" s="543"/>
      <c r="E21" s="543"/>
      <c r="F21" s="543"/>
      <c r="G21" s="50">
        <v>400000</v>
      </c>
      <c r="H21" s="51">
        <f>G21</f>
        <v>400000</v>
      </c>
      <c r="I21" s="9"/>
      <c r="J21" s="9"/>
      <c r="K21" s="2"/>
      <c r="L21" s="2"/>
      <c r="M21" s="251"/>
      <c r="N21" s="251"/>
      <c r="O21" s="251"/>
      <c r="P21" s="2"/>
      <c r="Q21" s="2"/>
    </row>
    <row r="22" spans="1:17" ht="15">
      <c r="A22" s="5" t="s">
        <v>56</v>
      </c>
      <c r="B22" s="10" t="s">
        <v>57</v>
      </c>
      <c r="C22" s="540" t="s">
        <v>58</v>
      </c>
      <c r="D22" s="541"/>
      <c r="E22" s="541"/>
      <c r="F22" s="542"/>
      <c r="G22" s="50">
        <v>50000000</v>
      </c>
      <c r="H22" s="51">
        <f aca="true" t="shared" si="1" ref="H22:H32">G22</f>
        <v>50000000</v>
      </c>
      <c r="I22" s="9"/>
      <c r="J22" s="9"/>
      <c r="K22" s="2"/>
      <c r="L22" s="2"/>
      <c r="M22" s="251"/>
      <c r="N22" s="251"/>
      <c r="O22" s="251"/>
      <c r="P22" s="2"/>
      <c r="Q22" s="2"/>
    </row>
    <row r="23" spans="1:17" ht="15">
      <c r="A23" s="5" t="s">
        <v>59</v>
      </c>
      <c r="B23" s="10" t="s">
        <v>60</v>
      </c>
      <c r="C23" s="543" t="s">
        <v>61</v>
      </c>
      <c r="D23" s="543"/>
      <c r="E23" s="543"/>
      <c r="F23" s="543"/>
      <c r="G23" s="8">
        <f>'[7]Ovi'!$I$92</f>
        <v>28500</v>
      </c>
      <c r="H23" s="51">
        <f t="shared" si="1"/>
        <v>28500</v>
      </c>
      <c r="I23" s="9"/>
      <c r="J23" s="9"/>
      <c r="K23" s="2"/>
      <c r="L23" s="2"/>
      <c r="M23" s="251"/>
      <c r="N23" s="251"/>
      <c r="O23" s="251"/>
      <c r="P23" s="2"/>
      <c r="Q23" s="2"/>
    </row>
    <row r="24" spans="1:17" ht="15">
      <c r="A24" s="5" t="s">
        <v>62</v>
      </c>
      <c r="B24" s="10" t="s">
        <v>63</v>
      </c>
      <c r="C24" s="543" t="s">
        <v>64</v>
      </c>
      <c r="D24" s="543"/>
      <c r="E24" s="543"/>
      <c r="F24" s="543"/>
      <c r="G24" s="50">
        <f>'[5]Ovi'!$I$87</f>
        <v>300000</v>
      </c>
      <c r="H24" s="51">
        <f t="shared" si="1"/>
        <v>300000</v>
      </c>
      <c r="I24" s="9"/>
      <c r="J24" s="9"/>
      <c r="K24" s="2"/>
      <c r="L24" s="2"/>
      <c r="M24" s="251"/>
      <c r="N24" s="251"/>
      <c r="O24" s="251"/>
      <c r="P24" s="2"/>
      <c r="Q24" s="2"/>
    </row>
    <row r="25" spans="1:17" ht="15">
      <c r="A25" s="5" t="s">
        <v>65</v>
      </c>
      <c r="B25" s="19" t="s">
        <v>66</v>
      </c>
      <c r="C25" s="543" t="s">
        <v>67</v>
      </c>
      <c r="D25" s="543"/>
      <c r="E25" s="543"/>
      <c r="F25" s="543"/>
      <c r="G25" s="50">
        <f>'[7]Ovi'!$I$88</f>
        <v>6300000</v>
      </c>
      <c r="H25" s="51">
        <f t="shared" si="1"/>
        <v>6300000</v>
      </c>
      <c r="I25" s="9"/>
      <c r="J25" s="9"/>
      <c r="K25" s="2"/>
      <c r="L25" s="2"/>
      <c r="M25" s="251"/>
      <c r="N25" s="251"/>
      <c r="O25" s="251"/>
      <c r="P25" s="2"/>
      <c r="Q25" s="2"/>
    </row>
    <row r="26" spans="1:17" ht="15">
      <c r="A26" s="5" t="s">
        <v>68</v>
      </c>
      <c r="B26" s="19" t="s">
        <v>69</v>
      </c>
      <c r="C26" s="543" t="s">
        <v>70</v>
      </c>
      <c r="D26" s="543"/>
      <c r="E26" s="543"/>
      <c r="F26" s="543"/>
      <c r="G26" s="50">
        <v>800000</v>
      </c>
      <c r="H26" s="51">
        <f t="shared" si="1"/>
        <v>800000</v>
      </c>
      <c r="I26" s="9"/>
      <c r="J26" s="9"/>
      <c r="K26" s="2"/>
      <c r="L26" s="2"/>
      <c r="M26" s="251"/>
      <c r="N26" s="251"/>
      <c r="O26" s="251"/>
      <c r="P26" s="2"/>
      <c r="Q26" s="2"/>
    </row>
    <row r="27" spans="1:17" ht="15">
      <c r="A27" s="5" t="s">
        <v>71</v>
      </c>
      <c r="B27" s="19" t="s">
        <v>72</v>
      </c>
      <c r="C27" s="540" t="s">
        <v>73</v>
      </c>
      <c r="D27" s="541"/>
      <c r="E27" s="541"/>
      <c r="F27" s="542"/>
      <c r="G27" s="8"/>
      <c r="H27" s="51">
        <f t="shared" si="1"/>
        <v>0</v>
      </c>
      <c r="I27" s="9"/>
      <c r="J27" s="9"/>
      <c r="K27" s="2"/>
      <c r="L27" s="2"/>
      <c r="M27" s="251"/>
      <c r="N27" s="251"/>
      <c r="O27" s="251"/>
      <c r="P27" s="2"/>
      <c r="Q27" s="2"/>
    </row>
    <row r="28" spans="1:17" ht="25.5">
      <c r="A28" s="5" t="s">
        <v>74</v>
      </c>
      <c r="B28" s="19" t="s">
        <v>75</v>
      </c>
      <c r="C28" s="543" t="s">
        <v>76</v>
      </c>
      <c r="D28" s="543"/>
      <c r="E28" s="543"/>
      <c r="F28" s="543"/>
      <c r="G28" s="8">
        <v>2000000</v>
      </c>
      <c r="H28" s="51">
        <f t="shared" si="1"/>
        <v>2000000</v>
      </c>
      <c r="I28" s="9"/>
      <c r="J28" s="9"/>
      <c r="K28" s="2"/>
      <c r="L28" s="2"/>
      <c r="M28" s="251"/>
      <c r="N28" s="251"/>
      <c r="O28" s="251"/>
      <c r="P28" s="2"/>
      <c r="Q28" s="2"/>
    </row>
    <row r="29" spans="1:17" ht="15">
      <c r="A29" s="5" t="s">
        <v>77</v>
      </c>
      <c r="B29" s="19" t="s">
        <v>78</v>
      </c>
      <c r="C29" s="543" t="s">
        <v>79</v>
      </c>
      <c r="D29" s="543"/>
      <c r="E29" s="543"/>
      <c r="F29" s="543"/>
      <c r="G29" s="8">
        <f>'[7]Ovi'!$I$90</f>
        <v>4611760</v>
      </c>
      <c r="H29" s="51">
        <f t="shared" si="1"/>
        <v>4611760</v>
      </c>
      <c r="I29" s="9"/>
      <c r="J29" s="9"/>
      <c r="K29" s="2"/>
      <c r="L29" s="2"/>
      <c r="M29" s="251"/>
      <c r="N29" s="251"/>
      <c r="O29" s="251"/>
      <c r="P29" s="2"/>
      <c r="Q29" s="2"/>
    </row>
    <row r="30" spans="1:17" ht="15">
      <c r="A30" s="5" t="s">
        <v>80</v>
      </c>
      <c r="B30" s="19" t="s">
        <v>81</v>
      </c>
      <c r="C30" s="540" t="s">
        <v>82</v>
      </c>
      <c r="D30" s="541"/>
      <c r="E30" s="541"/>
      <c r="F30" s="542"/>
      <c r="G30" s="8">
        <v>26539</v>
      </c>
      <c r="H30" s="51">
        <f t="shared" si="1"/>
        <v>26539</v>
      </c>
      <c r="I30" s="9"/>
      <c r="J30" s="9"/>
      <c r="K30" s="2"/>
      <c r="L30" s="2"/>
      <c r="M30" s="251"/>
      <c r="N30" s="251"/>
      <c r="O30" s="251"/>
      <c r="P30" s="2"/>
      <c r="Q30" s="2"/>
    </row>
    <row r="31" spans="1:17" ht="25.5">
      <c r="A31" s="5" t="s">
        <v>83</v>
      </c>
      <c r="B31" s="19" t="s">
        <v>84</v>
      </c>
      <c r="C31" s="543" t="s">
        <v>85</v>
      </c>
      <c r="D31" s="543"/>
      <c r="E31" s="543"/>
      <c r="F31" s="543"/>
      <c r="G31" s="8">
        <f>((G21+G23+G24+G25+G26+G29)*0.27)+(47000000*0.18)</f>
        <v>11818870.2</v>
      </c>
      <c r="H31" s="53">
        <f t="shared" si="1"/>
        <v>11818870.2</v>
      </c>
      <c r="I31" s="9"/>
      <c r="J31" s="9"/>
      <c r="K31" s="2"/>
      <c r="L31" s="2"/>
      <c r="M31" s="251"/>
      <c r="N31" s="251"/>
      <c r="O31" s="251"/>
      <c r="P31" s="2"/>
      <c r="Q31" s="2"/>
    </row>
    <row r="32" spans="1:17" ht="15">
      <c r="A32" s="5" t="s">
        <v>86</v>
      </c>
      <c r="B32" s="21" t="s">
        <v>87</v>
      </c>
      <c r="C32" s="543" t="s">
        <v>88</v>
      </c>
      <c r="D32" s="543"/>
      <c r="E32" s="543"/>
      <c r="F32" s="543"/>
      <c r="G32" s="11"/>
      <c r="H32" s="51">
        <f t="shared" si="1"/>
        <v>0</v>
      </c>
      <c r="I32" s="9"/>
      <c r="J32" s="9"/>
      <c r="K32" s="2"/>
      <c r="L32" s="2"/>
      <c r="M32" s="251"/>
      <c r="N32" s="251"/>
      <c r="O32" s="251"/>
      <c r="P32" s="2"/>
      <c r="Q32" s="2"/>
    </row>
    <row r="33" spans="1:17" ht="15">
      <c r="A33" s="13" t="s">
        <v>89</v>
      </c>
      <c r="B33" s="14" t="s">
        <v>90</v>
      </c>
      <c r="C33" s="535" t="s">
        <v>91</v>
      </c>
      <c r="D33" s="535"/>
      <c r="E33" s="535"/>
      <c r="F33" s="535"/>
      <c r="G33" s="18">
        <f>SUM(G21:G32)</f>
        <v>76285669.2</v>
      </c>
      <c r="H33" s="18">
        <f>SUM(H21:H32)</f>
        <v>76285669.2</v>
      </c>
      <c r="I33" s="18">
        <f>SUM(I21:I32)</f>
        <v>0</v>
      </c>
      <c r="J33" s="18">
        <f>SUM(J21:J32)</f>
        <v>0</v>
      </c>
      <c r="K33" s="2"/>
      <c r="L33" s="2"/>
      <c r="M33" s="251"/>
      <c r="N33" s="251"/>
      <c r="O33" s="251"/>
      <c r="P33" s="2"/>
      <c r="Q33" s="2"/>
    </row>
    <row r="34" spans="1:17" ht="15">
      <c r="A34" s="5" t="s">
        <v>92</v>
      </c>
      <c r="B34" s="10" t="s">
        <v>93</v>
      </c>
      <c r="C34" s="7" t="s">
        <v>94</v>
      </c>
      <c r="D34" s="22"/>
      <c r="E34" s="22"/>
      <c r="F34" s="22"/>
      <c r="G34" s="45"/>
      <c r="H34" s="9"/>
      <c r="I34" s="9"/>
      <c r="J34" s="9"/>
      <c r="K34" s="2"/>
      <c r="L34" s="2"/>
      <c r="M34" s="251"/>
      <c r="N34" s="251"/>
      <c r="O34" s="251"/>
      <c r="P34" s="2"/>
      <c r="Q34" s="2"/>
    </row>
    <row r="35" spans="1:17" ht="15">
      <c r="A35" s="5" t="s">
        <v>95</v>
      </c>
      <c r="B35" s="10" t="s">
        <v>96</v>
      </c>
      <c r="C35" s="7" t="s">
        <v>97</v>
      </c>
      <c r="D35" s="22"/>
      <c r="E35" s="22"/>
      <c r="F35" s="22"/>
      <c r="G35" s="45"/>
      <c r="H35" s="9"/>
      <c r="I35" s="9"/>
      <c r="J35" s="9"/>
      <c r="K35" s="2"/>
      <c r="L35" s="2"/>
      <c r="M35" s="251"/>
      <c r="N35" s="251"/>
      <c r="O35" s="251"/>
      <c r="P35" s="2"/>
      <c r="Q35" s="2"/>
    </row>
    <row r="36" spans="1:17" ht="15">
      <c r="A36" s="13" t="s">
        <v>98</v>
      </c>
      <c r="B36" s="14" t="s">
        <v>99</v>
      </c>
      <c r="C36" s="64" t="s">
        <v>100</v>
      </c>
      <c r="D36" s="64"/>
      <c r="E36" s="64"/>
      <c r="F36" s="64"/>
      <c r="G36" s="18">
        <f>SUM(G34:G35)</f>
        <v>0</v>
      </c>
      <c r="H36" s="18">
        <f>SUM(H34:H35)</f>
        <v>0</v>
      </c>
      <c r="I36" s="18">
        <f>SUM(I34:I35)</f>
        <v>0</v>
      </c>
      <c r="J36" s="18">
        <f>SUM(J34:J35)</f>
        <v>0</v>
      </c>
      <c r="K36" s="2"/>
      <c r="L36" s="2"/>
      <c r="M36" s="251"/>
      <c r="N36" s="251"/>
      <c r="O36" s="251"/>
      <c r="P36" s="2"/>
      <c r="Q36" s="2"/>
    </row>
    <row r="37" spans="1:17" ht="25.5">
      <c r="A37" s="5" t="s">
        <v>101</v>
      </c>
      <c r="B37" s="10" t="s">
        <v>102</v>
      </c>
      <c r="C37" s="7" t="s">
        <v>103</v>
      </c>
      <c r="D37" s="22"/>
      <c r="E37" s="22"/>
      <c r="F37" s="22"/>
      <c r="G37" s="45"/>
      <c r="H37" s="9"/>
      <c r="I37" s="9"/>
      <c r="J37" s="9"/>
      <c r="K37" s="2"/>
      <c r="L37" s="2"/>
      <c r="M37" s="251"/>
      <c r="N37" s="251"/>
      <c r="O37" s="251"/>
      <c r="P37" s="2"/>
      <c r="Q37" s="2"/>
    </row>
    <row r="38" spans="1:17" ht="25.5">
      <c r="A38" s="5" t="s">
        <v>104</v>
      </c>
      <c r="B38" s="10" t="s">
        <v>105</v>
      </c>
      <c r="C38" s="7" t="s">
        <v>106</v>
      </c>
      <c r="D38" s="22"/>
      <c r="E38" s="22"/>
      <c r="F38" s="22"/>
      <c r="G38" s="45"/>
      <c r="H38" s="9"/>
      <c r="I38" s="9"/>
      <c r="J38" s="9"/>
      <c r="K38" s="2"/>
      <c r="L38" s="2"/>
      <c r="M38" s="251"/>
      <c r="N38" s="251"/>
      <c r="O38" s="251"/>
      <c r="P38" s="2"/>
      <c r="Q38" s="2"/>
    </row>
    <row r="39" spans="1:17" ht="15">
      <c r="A39" s="5" t="s">
        <v>107</v>
      </c>
      <c r="B39" s="10" t="s">
        <v>108</v>
      </c>
      <c r="C39" s="7" t="s">
        <v>109</v>
      </c>
      <c r="D39" s="22"/>
      <c r="E39" s="22"/>
      <c r="F39" s="22"/>
      <c r="G39" s="45"/>
      <c r="H39" s="9"/>
      <c r="I39" s="9"/>
      <c r="J39" s="9"/>
      <c r="K39" s="2"/>
      <c r="L39" s="2"/>
      <c r="M39" s="251"/>
      <c r="N39" s="251"/>
      <c r="O39" s="251"/>
      <c r="P39" s="2"/>
      <c r="Q39" s="2"/>
    </row>
    <row r="40" spans="1:17" ht="15">
      <c r="A40" s="13" t="s">
        <v>110</v>
      </c>
      <c r="B40" s="24" t="s">
        <v>111</v>
      </c>
      <c r="C40" s="64" t="s">
        <v>112</v>
      </c>
      <c r="D40" s="64"/>
      <c r="E40" s="64"/>
      <c r="F40" s="64"/>
      <c r="G40" s="18">
        <f>SUM(G37:G39)</f>
        <v>0</v>
      </c>
      <c r="H40" s="18">
        <f>SUM(H37:H39)</f>
        <v>0</v>
      </c>
      <c r="I40" s="18">
        <f>SUM(I37:I39)</f>
        <v>0</v>
      </c>
      <c r="J40" s="18">
        <f>SUM(J37:J39)</f>
        <v>0</v>
      </c>
      <c r="K40" s="2"/>
      <c r="L40" s="2"/>
      <c r="M40" s="251"/>
      <c r="N40" s="251"/>
      <c r="O40" s="251"/>
      <c r="P40" s="2"/>
      <c r="Q40" s="2"/>
    </row>
    <row r="41" spans="1:17" s="498" customFormat="1" ht="15">
      <c r="A41" s="40" t="s">
        <v>113</v>
      </c>
      <c r="B41" s="25" t="s">
        <v>114</v>
      </c>
      <c r="C41" s="565" t="s">
        <v>115</v>
      </c>
      <c r="D41" s="566"/>
      <c r="E41" s="566"/>
      <c r="F41" s="567"/>
      <c r="G41" s="11">
        <v>0</v>
      </c>
      <c r="H41" s="11"/>
      <c r="I41" s="11">
        <v>0</v>
      </c>
      <c r="J41" s="11"/>
      <c r="K41" s="32"/>
      <c r="L41" s="32"/>
      <c r="M41" s="255"/>
      <c r="N41" s="255"/>
      <c r="O41" s="255"/>
      <c r="P41" s="32"/>
      <c r="Q41" s="32"/>
    </row>
    <row r="42" spans="1:17" ht="15">
      <c r="A42" s="256" t="s">
        <v>116</v>
      </c>
      <c r="B42" s="25" t="s">
        <v>235</v>
      </c>
      <c r="C42" s="257" t="s">
        <v>236</v>
      </c>
      <c r="D42" s="257"/>
      <c r="E42" s="257"/>
      <c r="F42" s="257"/>
      <c r="G42" s="26">
        <f>'[8]Ovi'!$I$94</f>
        <v>322834.6456692913</v>
      </c>
      <c r="H42" s="52"/>
      <c r="I42" s="26">
        <f>G42</f>
        <v>322834.6456692913</v>
      </c>
      <c r="J42" s="52"/>
      <c r="K42" s="2"/>
      <c r="L42" s="2"/>
      <c r="M42" s="251"/>
      <c r="N42" s="251"/>
      <c r="O42" s="251"/>
      <c r="P42" s="2"/>
      <c r="Q42" s="2"/>
    </row>
    <row r="43" spans="1:17" ht="25.5">
      <c r="A43" s="256" t="s">
        <v>119</v>
      </c>
      <c r="B43" s="10" t="s">
        <v>117</v>
      </c>
      <c r="C43" s="7" t="s">
        <v>118</v>
      </c>
      <c r="D43" s="22"/>
      <c r="E43" s="22"/>
      <c r="F43" s="22"/>
      <c r="G43" s="11">
        <f>'[8]Ovi'!$I$96</f>
        <v>3430078.7401574804</v>
      </c>
      <c r="H43" s="9">
        <v>0</v>
      </c>
      <c r="I43" s="27">
        <f>G43</f>
        <v>3430078.7401574804</v>
      </c>
      <c r="J43" s="9"/>
      <c r="K43" s="2"/>
      <c r="L43" s="2"/>
      <c r="M43" s="251"/>
      <c r="N43" s="251"/>
      <c r="O43" s="251"/>
      <c r="P43" s="2"/>
      <c r="Q43" s="2"/>
    </row>
    <row r="44" spans="1:17" ht="25.5">
      <c r="A44" s="256" t="s">
        <v>122</v>
      </c>
      <c r="B44" s="10" t="s">
        <v>120</v>
      </c>
      <c r="C44" s="7" t="s">
        <v>121</v>
      </c>
      <c r="D44" s="22"/>
      <c r="E44" s="22"/>
      <c r="F44" s="22"/>
      <c r="G44" s="11">
        <f>'[8]Ovi'!$I$97</f>
        <v>1013286.6141732284</v>
      </c>
      <c r="H44" s="9">
        <v>0</v>
      </c>
      <c r="I44" s="27">
        <f>G44</f>
        <v>1013286.6141732284</v>
      </c>
      <c r="J44" s="9"/>
      <c r="K44" s="2"/>
      <c r="L44" s="2"/>
      <c r="M44" s="251"/>
      <c r="N44" s="251"/>
      <c r="O44" s="251"/>
      <c r="P44" s="2"/>
      <c r="Q44" s="2"/>
    </row>
    <row r="45" spans="1:17" ht="15">
      <c r="A45" s="499" t="s">
        <v>125</v>
      </c>
      <c r="B45" s="14" t="s">
        <v>123</v>
      </c>
      <c r="C45" s="64" t="s">
        <v>124</v>
      </c>
      <c r="D45" s="64"/>
      <c r="E45" s="64"/>
      <c r="F45" s="64"/>
      <c r="G45" s="18">
        <f>SUM(G42:G44)</f>
        <v>4766200</v>
      </c>
      <c r="H45" s="18">
        <f>SUM(H42:H44)</f>
        <v>0</v>
      </c>
      <c r="I45" s="18">
        <f>SUM(I42:I44)</f>
        <v>4766200</v>
      </c>
      <c r="J45" s="18">
        <f>SUM(J42:J44)</f>
        <v>0</v>
      </c>
      <c r="K45" s="2"/>
      <c r="L45" s="2"/>
      <c r="M45" s="251"/>
      <c r="N45" s="251"/>
      <c r="O45" s="251"/>
      <c r="P45" s="2"/>
      <c r="Q45" s="2"/>
    </row>
    <row r="46" spans="1:17" ht="15">
      <c r="A46" s="256" t="s">
        <v>128</v>
      </c>
      <c r="B46" s="10" t="s">
        <v>126</v>
      </c>
      <c r="C46" s="7" t="s">
        <v>127</v>
      </c>
      <c r="D46" s="22"/>
      <c r="E46" s="22"/>
      <c r="F46" s="22"/>
      <c r="G46" s="45"/>
      <c r="H46" s="9"/>
      <c r="I46" s="9"/>
      <c r="J46" s="9"/>
      <c r="K46" s="2"/>
      <c r="L46" s="2"/>
      <c r="M46" s="251"/>
      <c r="N46" s="251"/>
      <c r="O46" s="251"/>
      <c r="P46" s="2"/>
      <c r="Q46" s="2"/>
    </row>
    <row r="47" spans="1:17" ht="25.5">
      <c r="A47" s="256" t="s">
        <v>131</v>
      </c>
      <c r="B47" s="10" t="s">
        <v>129</v>
      </c>
      <c r="C47" s="7" t="s">
        <v>130</v>
      </c>
      <c r="D47" s="7"/>
      <c r="E47" s="7"/>
      <c r="F47" s="7"/>
      <c r="G47" s="11"/>
      <c r="H47" s="9"/>
      <c r="I47" s="9"/>
      <c r="J47" s="9"/>
      <c r="K47" s="2"/>
      <c r="L47" s="2"/>
      <c r="M47" s="251"/>
      <c r="N47" s="251"/>
      <c r="O47" s="251"/>
      <c r="P47" s="2"/>
      <c r="Q47" s="2"/>
    </row>
    <row r="48" spans="1:17" ht="15">
      <c r="A48" s="499" t="s">
        <v>134</v>
      </c>
      <c r="B48" s="14" t="s">
        <v>132</v>
      </c>
      <c r="C48" s="64" t="s">
        <v>133</v>
      </c>
      <c r="D48" s="64"/>
      <c r="E48" s="64"/>
      <c r="F48" s="64"/>
      <c r="G48" s="18">
        <f>SUM(G46:G47)</f>
        <v>0</v>
      </c>
      <c r="H48" s="18">
        <f>SUM(H46:H47)</f>
        <v>0</v>
      </c>
      <c r="I48" s="18">
        <f>SUM(I46:I47)</f>
        <v>0</v>
      </c>
      <c r="J48" s="18">
        <f>SUM(J46:J47)</f>
        <v>0</v>
      </c>
      <c r="K48" s="2"/>
      <c r="L48" s="2"/>
      <c r="M48" s="251"/>
      <c r="N48" s="251"/>
      <c r="O48" s="251"/>
      <c r="P48" s="2"/>
      <c r="Q48" s="2"/>
    </row>
    <row r="49" spans="1:17" ht="38.25">
      <c r="A49" s="256" t="s">
        <v>137</v>
      </c>
      <c r="B49" s="10" t="s">
        <v>135</v>
      </c>
      <c r="C49" s="7" t="s">
        <v>136</v>
      </c>
      <c r="D49" s="7"/>
      <c r="E49" s="7"/>
      <c r="F49" s="7"/>
      <c r="G49" s="11"/>
      <c r="H49" s="9"/>
      <c r="I49" s="9"/>
      <c r="J49" s="9"/>
      <c r="K49" s="2"/>
      <c r="L49" s="2"/>
      <c r="M49" s="251"/>
      <c r="N49" s="251"/>
      <c r="O49" s="251"/>
      <c r="P49" s="2"/>
      <c r="Q49" s="2"/>
    </row>
    <row r="50" spans="1:17" ht="15">
      <c r="A50" s="499" t="s">
        <v>140</v>
      </c>
      <c r="B50" s="14" t="s">
        <v>138</v>
      </c>
      <c r="C50" s="64" t="s">
        <v>139</v>
      </c>
      <c r="D50" s="64"/>
      <c r="E50" s="64"/>
      <c r="F50" s="64"/>
      <c r="G50" s="18">
        <f>SUM(G49)</f>
        <v>0</v>
      </c>
      <c r="H50" s="18">
        <f>SUM(H49)</f>
        <v>0</v>
      </c>
      <c r="I50" s="18">
        <f>SUM(I49)</f>
        <v>0</v>
      </c>
      <c r="J50" s="18">
        <f>SUM(J49)</f>
        <v>0</v>
      </c>
      <c r="K50" s="2"/>
      <c r="L50" s="2"/>
      <c r="M50" s="251"/>
      <c r="N50" s="251"/>
      <c r="O50" s="251"/>
      <c r="P50" s="2"/>
      <c r="Q50" s="2"/>
    </row>
    <row r="51" spans="1:17" ht="15">
      <c r="A51" s="499" t="s">
        <v>147</v>
      </c>
      <c r="B51" s="28" t="s">
        <v>141</v>
      </c>
      <c r="C51" s="535" t="s">
        <v>142</v>
      </c>
      <c r="D51" s="535"/>
      <c r="E51" s="535"/>
      <c r="F51" s="535"/>
      <c r="G51" s="18">
        <f>G19+G20+G33+G36+G40+G45+G48+G50</f>
        <v>271156413.41</v>
      </c>
      <c r="H51" s="18">
        <f>H19+H20+H33+H36+H40+H45+H48+H50</f>
        <v>258724293.41000003</v>
      </c>
      <c r="I51" s="18">
        <f>I19+I20+I33+I36+I40+I45+I48+I50</f>
        <v>12432120</v>
      </c>
      <c r="J51" s="18">
        <f>J19+J20+J33+J36+J40+J45+J48+J50</f>
        <v>0</v>
      </c>
      <c r="K51" s="2"/>
      <c r="L51" s="2"/>
      <c r="M51" s="251"/>
      <c r="N51" s="251"/>
      <c r="O51" s="251"/>
      <c r="P51" s="2"/>
      <c r="Q51" s="2"/>
    </row>
    <row r="52" spans="1:17" ht="15">
      <c r="A52" s="29"/>
      <c r="B52" s="2"/>
      <c r="C52" s="2"/>
      <c r="D52" s="2"/>
      <c r="E52" s="2"/>
      <c r="F52" s="2"/>
      <c r="G52" s="30"/>
      <c r="H52" s="2"/>
      <c r="I52" s="2"/>
      <c r="J52" s="2"/>
      <c r="K52" s="2"/>
      <c r="L52" s="2"/>
      <c r="M52" s="251"/>
      <c r="N52" s="251"/>
      <c r="O52" s="251"/>
      <c r="P52" s="2"/>
      <c r="Q52" s="2"/>
    </row>
    <row r="53" spans="1:17" ht="15">
      <c r="A53" s="579" t="s">
        <v>143</v>
      </c>
      <c r="B53" s="579"/>
      <c r="C53" s="579"/>
      <c r="D53" s="579"/>
      <c r="E53" s="579"/>
      <c r="F53" s="579"/>
      <c r="G53" s="579"/>
      <c r="H53" s="31"/>
      <c r="I53" s="31"/>
      <c r="J53" s="31"/>
      <c r="K53" s="31"/>
      <c r="L53" s="31"/>
      <c r="M53" s="258"/>
      <c r="N53" s="258"/>
      <c r="O53" s="258"/>
      <c r="P53" s="31"/>
      <c r="Q53" s="31"/>
    </row>
    <row r="54" spans="1:17" ht="15">
      <c r="A54" s="537" t="s">
        <v>3</v>
      </c>
      <c r="B54" s="538" t="s">
        <v>4</v>
      </c>
      <c r="C54" s="539" t="s">
        <v>5</v>
      </c>
      <c r="D54" s="539"/>
      <c r="E54" s="539"/>
      <c r="F54" s="539"/>
      <c r="G54" s="546" t="s">
        <v>144</v>
      </c>
      <c r="H54" s="3"/>
      <c r="I54" s="3"/>
      <c r="J54" s="3"/>
      <c r="K54" s="3"/>
      <c r="L54" s="3"/>
      <c r="M54" s="252"/>
      <c r="N54" s="252"/>
      <c r="O54" s="252"/>
      <c r="P54" s="3"/>
      <c r="Q54" s="3"/>
    </row>
    <row r="55" spans="1:17" ht="15" customHeight="1">
      <c r="A55" s="537"/>
      <c r="B55" s="538"/>
      <c r="C55" s="539"/>
      <c r="D55" s="539"/>
      <c r="E55" s="539"/>
      <c r="F55" s="539"/>
      <c r="G55" s="546"/>
      <c r="H55" s="2"/>
      <c r="I55" s="2"/>
      <c r="J55" s="2"/>
      <c r="K55" s="2"/>
      <c r="L55" s="2"/>
      <c r="M55" s="251"/>
      <c r="N55" s="251"/>
      <c r="O55" s="251"/>
      <c r="P55" s="2"/>
      <c r="Q55" s="2"/>
    </row>
    <row r="56" spans="1:17" ht="25.5">
      <c r="A56" s="5" t="s">
        <v>150</v>
      </c>
      <c r="B56" s="19" t="s">
        <v>145</v>
      </c>
      <c r="C56" s="540" t="s">
        <v>146</v>
      </c>
      <c r="D56" s="541"/>
      <c r="E56" s="541"/>
      <c r="F56" s="542"/>
      <c r="G56" s="8"/>
      <c r="H56" s="32"/>
      <c r="I56" s="32"/>
      <c r="J56" s="32"/>
      <c r="K56" s="32"/>
      <c r="L56" s="32"/>
      <c r="M56" s="255"/>
      <c r="N56" s="255"/>
      <c r="O56" s="255"/>
      <c r="P56" s="32"/>
      <c r="Q56" s="32"/>
    </row>
    <row r="57" spans="1:17" ht="25.5">
      <c r="A57" s="5" t="s">
        <v>439</v>
      </c>
      <c r="B57" s="19" t="s">
        <v>148</v>
      </c>
      <c r="C57" s="543" t="s">
        <v>149</v>
      </c>
      <c r="D57" s="543"/>
      <c r="E57" s="543"/>
      <c r="F57" s="543"/>
      <c r="G57" s="8"/>
      <c r="H57" s="32"/>
      <c r="I57" s="32"/>
      <c r="J57" s="32"/>
      <c r="K57" s="32"/>
      <c r="L57" s="32"/>
      <c r="M57" s="255"/>
      <c r="N57" s="255"/>
      <c r="O57" s="255"/>
      <c r="P57" s="32"/>
      <c r="Q57" s="32"/>
    </row>
    <row r="58" spans="1:17" ht="15">
      <c r="A58" s="13" t="s">
        <v>440</v>
      </c>
      <c r="B58" s="28" t="s">
        <v>151</v>
      </c>
      <c r="C58" s="535" t="s">
        <v>152</v>
      </c>
      <c r="D58" s="535"/>
      <c r="E58" s="535"/>
      <c r="F58" s="535"/>
      <c r="G58" s="18">
        <f>SUM(G56:G57)</f>
        <v>0</v>
      </c>
      <c r="H58" s="32"/>
      <c r="I58" s="32"/>
      <c r="J58" s="32"/>
      <c r="K58" s="32"/>
      <c r="L58" s="32"/>
      <c r="M58" s="255"/>
      <c r="N58" s="255"/>
      <c r="O58" s="255"/>
      <c r="P58" s="32"/>
      <c r="Q58" s="32"/>
    </row>
    <row r="59" spans="1:17" ht="15">
      <c r="A59" s="34"/>
      <c r="B59" s="2"/>
      <c r="C59" s="2"/>
      <c r="D59" s="2"/>
      <c r="E59" s="2"/>
      <c r="F59" s="2"/>
      <c r="G59" s="30"/>
      <c r="H59" s="2"/>
      <c r="I59" s="2"/>
      <c r="J59" s="2"/>
      <c r="K59" s="2"/>
      <c r="L59" s="2"/>
      <c r="M59" s="251"/>
      <c r="N59" s="251"/>
      <c r="O59" s="251"/>
      <c r="P59" s="2"/>
      <c r="Q59" s="2"/>
    </row>
    <row r="60" spans="1:17" ht="15">
      <c r="A60" s="35"/>
      <c r="B60" s="36" t="s">
        <v>153</v>
      </c>
      <c r="C60" s="534"/>
      <c r="D60" s="534"/>
      <c r="E60" s="534"/>
      <c r="F60" s="534"/>
      <c r="G60" s="37">
        <f>G51+G58</f>
        <v>271156413.41</v>
      </c>
      <c r="H60" s="2"/>
      <c r="I60" s="295"/>
      <c r="J60" s="2"/>
      <c r="K60" s="2"/>
      <c r="L60" s="2"/>
      <c r="M60" s="251"/>
      <c r="N60" s="251"/>
      <c r="O60" s="251"/>
      <c r="P60" s="2"/>
      <c r="Q60" s="2"/>
    </row>
    <row r="61" spans="1:17" ht="15">
      <c r="A61" s="34"/>
      <c r="B61" s="2"/>
      <c r="C61" s="2"/>
      <c r="D61" s="2"/>
      <c r="E61" s="2"/>
      <c r="F61" s="2"/>
      <c r="G61" s="30"/>
      <c r="H61" s="2"/>
      <c r="I61" s="2"/>
      <c r="J61" s="2"/>
      <c r="K61" s="2"/>
      <c r="L61" s="2"/>
      <c r="M61" s="251"/>
      <c r="N61" s="251"/>
      <c r="O61" s="251"/>
      <c r="P61" s="2"/>
      <c r="Q61" s="2"/>
    </row>
    <row r="62" spans="2:17" ht="15">
      <c r="B62" s="2" t="s">
        <v>387</v>
      </c>
      <c r="C62" s="2"/>
      <c r="D62" s="2"/>
      <c r="E62" s="2"/>
      <c r="F62" s="2"/>
      <c r="G62" s="259">
        <v>140927060</v>
      </c>
      <c r="H62" s="2"/>
      <c r="I62" s="2"/>
      <c r="J62" s="2"/>
      <c r="K62" s="2"/>
      <c r="L62" s="2"/>
      <c r="M62" s="251"/>
      <c r="N62" s="251"/>
      <c r="O62" s="251"/>
      <c r="P62" s="2"/>
      <c r="Q62" s="2"/>
    </row>
    <row r="63" spans="2:17" ht="15">
      <c r="B63" s="2" t="s">
        <v>388</v>
      </c>
      <c r="C63" s="2"/>
      <c r="D63" s="2"/>
      <c r="E63" s="2"/>
      <c r="F63" s="2"/>
      <c r="G63" s="259">
        <v>48003755</v>
      </c>
      <c r="H63" s="2"/>
      <c r="I63" s="2"/>
      <c r="J63" s="2"/>
      <c r="K63" s="2"/>
      <c r="L63" s="2"/>
      <c r="M63" s="251"/>
      <c r="N63" s="251"/>
      <c r="O63" s="251"/>
      <c r="P63" s="2"/>
      <c r="Q63" s="2"/>
    </row>
    <row r="64" spans="2:17" s="379" customFormat="1" ht="15">
      <c r="B64" s="2" t="s">
        <v>428</v>
      </c>
      <c r="C64" s="2"/>
      <c r="D64" s="2"/>
      <c r="E64" s="2"/>
      <c r="F64" s="2"/>
      <c r="G64" s="259">
        <f>30945273-14110000</f>
        <v>16835273</v>
      </c>
      <c r="H64" s="2"/>
      <c r="I64" s="2"/>
      <c r="J64" s="2"/>
      <c r="K64" s="2"/>
      <c r="L64" s="2"/>
      <c r="M64" s="251"/>
      <c r="N64" s="251"/>
      <c r="O64" s="251"/>
      <c r="P64" s="2"/>
      <c r="Q64" s="2"/>
    </row>
    <row r="65" spans="2:17" ht="15">
      <c r="B65" s="2" t="s">
        <v>389</v>
      </c>
      <c r="C65" s="2"/>
      <c r="D65" s="2"/>
      <c r="E65" s="2"/>
      <c r="F65" s="2"/>
      <c r="G65" s="260">
        <v>42014768</v>
      </c>
      <c r="H65" s="2"/>
      <c r="I65" s="2"/>
      <c r="J65" s="2"/>
      <c r="K65" s="2"/>
      <c r="L65" s="2"/>
      <c r="M65" s="251"/>
      <c r="N65" s="251"/>
      <c r="O65" s="251"/>
      <c r="P65" s="2"/>
      <c r="Q65" s="2"/>
    </row>
    <row r="66" spans="2:17" ht="15">
      <c r="B66" s="2"/>
      <c r="C66" s="2"/>
      <c r="D66" s="2"/>
      <c r="E66" s="2"/>
      <c r="F66" s="2"/>
      <c r="G66" s="261">
        <f>G62+G63+G64+G65</f>
        <v>247780856</v>
      </c>
      <c r="H66" s="2"/>
      <c r="I66" s="295"/>
      <c r="J66" s="2"/>
      <c r="K66" s="2"/>
      <c r="L66" s="2"/>
      <c r="M66" s="251"/>
      <c r="N66" s="251"/>
      <c r="O66" s="251"/>
      <c r="P66" s="2"/>
      <c r="Q66" s="2"/>
    </row>
    <row r="67" spans="2:17" ht="15">
      <c r="B67" s="2" t="s">
        <v>390</v>
      </c>
      <c r="C67" s="2"/>
      <c r="D67" s="2"/>
      <c r="E67" s="2"/>
      <c r="F67" s="2"/>
      <c r="G67" s="262">
        <f>'Óvoda bev.'!G46-'Óvoda kiad.'!G66</f>
        <v>23375557.410000026</v>
      </c>
      <c r="H67" s="2"/>
      <c r="I67" s="295"/>
      <c r="J67" s="2"/>
      <c r="K67" s="2"/>
      <c r="L67" s="2"/>
      <c r="M67" s="251"/>
      <c r="N67" s="251"/>
      <c r="O67" s="251"/>
      <c r="P67" s="2"/>
      <c r="Q67" s="2"/>
    </row>
    <row r="68" spans="2:17" ht="15">
      <c r="B68" s="2"/>
      <c r="C68" s="2"/>
      <c r="D68" s="2"/>
      <c r="E68" s="2"/>
      <c r="F68" s="2"/>
      <c r="G68" s="30"/>
      <c r="H68" s="2"/>
      <c r="I68" s="2"/>
      <c r="J68" s="2"/>
      <c r="K68" s="2"/>
      <c r="L68" s="2"/>
      <c r="M68" s="251"/>
      <c r="N68" s="251"/>
      <c r="O68" s="251"/>
      <c r="P68" s="2"/>
      <c r="Q68" s="2"/>
    </row>
  </sheetData>
  <sheetProtection/>
  <mergeCells count="40">
    <mergeCell ref="C56:F56"/>
    <mergeCell ref="C60:F60"/>
    <mergeCell ref="A1:G1"/>
    <mergeCell ref="A53:G53"/>
    <mergeCell ref="A54:A55"/>
    <mergeCell ref="B54:B55"/>
    <mergeCell ref="C54:F55"/>
    <mergeCell ref="G54:G55"/>
    <mergeCell ref="C31:F31"/>
    <mergeCell ref="C32:F32"/>
    <mergeCell ref="C57:F57"/>
    <mergeCell ref="C58:F58"/>
    <mergeCell ref="C51:F51"/>
    <mergeCell ref="C33:F33"/>
    <mergeCell ref="C23:F23"/>
    <mergeCell ref="C24:F24"/>
    <mergeCell ref="C25:F25"/>
    <mergeCell ref="C26:F26"/>
    <mergeCell ref="C28:F28"/>
    <mergeCell ref="C29:F29"/>
    <mergeCell ref="A3:G3"/>
    <mergeCell ref="C7:F7"/>
    <mergeCell ref="C11:F11"/>
    <mergeCell ref="C13:F13"/>
    <mergeCell ref="C16:F16"/>
    <mergeCell ref="C17:F17"/>
    <mergeCell ref="A4:G4"/>
    <mergeCell ref="A5:A6"/>
    <mergeCell ref="B5:B6"/>
    <mergeCell ref="C5:F6"/>
    <mergeCell ref="C22:F22"/>
    <mergeCell ref="C27:F27"/>
    <mergeCell ref="C30:F30"/>
    <mergeCell ref="C41:F41"/>
    <mergeCell ref="H5:J5"/>
    <mergeCell ref="C18:F18"/>
    <mergeCell ref="C19:F19"/>
    <mergeCell ref="C20:F20"/>
    <mergeCell ref="C21:F21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28">
      <selection activeCell="H46" sqref="H46"/>
    </sheetView>
  </sheetViews>
  <sheetFormatPr defaultColWidth="9.140625" defaultRowHeight="15"/>
  <cols>
    <col min="2" max="2" width="34.28125" style="0" customWidth="1"/>
    <col min="7" max="7" width="15.8515625" style="0" bestFit="1" customWidth="1"/>
    <col min="8" max="8" width="9.8515625" style="0" bestFit="1" customWidth="1"/>
    <col min="9" max="9" width="12.28125" style="0" customWidth="1"/>
    <col min="10" max="10" width="6.28125" style="0" bestFit="1" customWidth="1"/>
  </cols>
  <sheetData>
    <row r="1" spans="1:10" ht="15">
      <c r="A1" s="549" t="s">
        <v>237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572" t="s">
        <v>238</v>
      </c>
      <c r="B3" s="572"/>
      <c r="C3" s="572"/>
      <c r="D3" s="572"/>
      <c r="E3" s="572"/>
      <c r="F3" s="572"/>
      <c r="G3" s="572"/>
      <c r="H3" s="572"/>
      <c r="I3" s="572"/>
      <c r="J3" s="572"/>
    </row>
    <row r="4" spans="1:10" ht="15">
      <c r="A4" s="573" t="s">
        <v>155</v>
      </c>
      <c r="B4" s="574"/>
      <c r="C4" s="574"/>
      <c r="D4" s="574"/>
      <c r="E4" s="574"/>
      <c r="F4" s="574"/>
      <c r="G4" s="574"/>
      <c r="H4" s="574"/>
      <c r="I4" s="574"/>
      <c r="J4" s="574"/>
    </row>
    <row r="5" spans="1:10" ht="15">
      <c r="A5" s="537" t="s">
        <v>3</v>
      </c>
      <c r="B5" s="538" t="s">
        <v>4</v>
      </c>
      <c r="C5" s="539" t="s">
        <v>5</v>
      </c>
      <c r="D5" s="539"/>
      <c r="E5" s="539"/>
      <c r="F5" s="539"/>
      <c r="G5" s="546" t="s">
        <v>144</v>
      </c>
      <c r="H5" s="553" t="s">
        <v>7</v>
      </c>
      <c r="I5" s="554"/>
      <c r="J5" s="555"/>
    </row>
    <row r="6" spans="1:10" ht="25.5">
      <c r="A6" s="537"/>
      <c r="B6" s="538"/>
      <c r="C6" s="539"/>
      <c r="D6" s="539"/>
      <c r="E6" s="539"/>
      <c r="F6" s="539"/>
      <c r="G6" s="546"/>
      <c r="H6" s="4" t="s">
        <v>8</v>
      </c>
      <c r="I6" s="4" t="s">
        <v>9</v>
      </c>
      <c r="J6" s="4" t="s">
        <v>10</v>
      </c>
    </row>
    <row r="7" spans="1:10" ht="25.5">
      <c r="A7" s="5" t="s">
        <v>11</v>
      </c>
      <c r="B7" s="6" t="s">
        <v>156</v>
      </c>
      <c r="C7" s="543" t="s">
        <v>157</v>
      </c>
      <c r="D7" s="543"/>
      <c r="E7" s="543"/>
      <c r="F7" s="543"/>
      <c r="G7" s="8">
        <v>1857715</v>
      </c>
      <c r="H7" s="501">
        <f>G7</f>
        <v>1857715</v>
      </c>
      <c r="I7" s="9"/>
      <c r="J7" s="9"/>
    </row>
    <row r="8" spans="1:10" ht="25.5">
      <c r="A8" s="5" t="s">
        <v>14</v>
      </c>
      <c r="B8" s="10" t="s">
        <v>158</v>
      </c>
      <c r="C8" s="543" t="s">
        <v>159</v>
      </c>
      <c r="D8" s="543"/>
      <c r="E8" s="543"/>
      <c r="F8" s="543"/>
      <c r="G8" s="8"/>
      <c r="H8" s="9"/>
      <c r="I8" s="9"/>
      <c r="J8" s="9"/>
    </row>
    <row r="9" spans="1:10" ht="38.25">
      <c r="A9" s="5" t="s">
        <v>17</v>
      </c>
      <c r="B9" s="10" t="s">
        <v>160</v>
      </c>
      <c r="C9" s="543" t="s">
        <v>161</v>
      </c>
      <c r="D9" s="543"/>
      <c r="E9" s="543"/>
      <c r="F9" s="543"/>
      <c r="G9" s="8"/>
      <c r="H9" s="9"/>
      <c r="I9" s="9"/>
      <c r="J9" s="9"/>
    </row>
    <row r="10" spans="1:10" ht="25.5">
      <c r="A10" s="5" t="s">
        <v>20</v>
      </c>
      <c r="B10" s="10" t="s">
        <v>162</v>
      </c>
      <c r="C10" s="540" t="s">
        <v>163</v>
      </c>
      <c r="D10" s="541"/>
      <c r="E10" s="541"/>
      <c r="F10" s="542"/>
      <c r="G10" s="8"/>
      <c r="H10" s="9"/>
      <c r="I10" s="9"/>
      <c r="J10" s="9"/>
    </row>
    <row r="11" spans="1:10" ht="38.25">
      <c r="A11" s="5" t="s">
        <v>23</v>
      </c>
      <c r="B11" s="10" t="s">
        <v>164</v>
      </c>
      <c r="C11" s="540" t="s">
        <v>165</v>
      </c>
      <c r="D11" s="541"/>
      <c r="E11" s="541"/>
      <c r="F11" s="542"/>
      <c r="G11" s="8"/>
      <c r="H11" s="9"/>
      <c r="I11" s="9"/>
      <c r="J11" s="9"/>
    </row>
    <row r="12" spans="1:10" ht="25.5">
      <c r="A12" s="5" t="s">
        <v>26</v>
      </c>
      <c r="B12" s="10" t="s">
        <v>166</v>
      </c>
      <c r="C12" s="543" t="s">
        <v>167</v>
      </c>
      <c r="D12" s="543"/>
      <c r="E12" s="543"/>
      <c r="F12" s="543"/>
      <c r="G12" s="8"/>
      <c r="H12" s="9"/>
      <c r="I12" s="9"/>
      <c r="J12" s="9"/>
    </row>
    <row r="13" spans="1:10" ht="15">
      <c r="A13" s="5" t="s">
        <v>29</v>
      </c>
      <c r="B13" s="10" t="s">
        <v>168</v>
      </c>
      <c r="C13" s="543" t="s">
        <v>169</v>
      </c>
      <c r="D13" s="543"/>
      <c r="E13" s="543"/>
      <c r="F13" s="543"/>
      <c r="G13" s="8"/>
      <c r="H13" s="9"/>
      <c r="I13" s="9"/>
      <c r="J13" s="9"/>
    </row>
    <row r="14" spans="1:10" ht="25.5">
      <c r="A14" s="5" t="s">
        <v>32</v>
      </c>
      <c r="B14" s="10" t="s">
        <v>170</v>
      </c>
      <c r="C14" s="543" t="s">
        <v>171</v>
      </c>
      <c r="D14" s="543"/>
      <c r="E14" s="543"/>
      <c r="F14" s="543"/>
      <c r="G14" s="8"/>
      <c r="H14" s="9"/>
      <c r="I14" s="9"/>
      <c r="J14" s="9"/>
    </row>
    <row r="15" spans="1:10" ht="25.5">
      <c r="A15" s="13" t="s">
        <v>35</v>
      </c>
      <c r="B15" s="14" t="s">
        <v>172</v>
      </c>
      <c r="C15" s="535" t="s">
        <v>173</v>
      </c>
      <c r="D15" s="535"/>
      <c r="E15" s="535"/>
      <c r="F15" s="535"/>
      <c r="G15" s="18">
        <f>SUM(G7:G14)</f>
        <v>1857715</v>
      </c>
      <c r="H15" s="18">
        <v>0</v>
      </c>
      <c r="I15" s="18">
        <v>0</v>
      </c>
      <c r="J15" s="18">
        <v>0</v>
      </c>
    </row>
    <row r="16" spans="1:10" ht="25.5">
      <c r="A16" s="5" t="s">
        <v>38</v>
      </c>
      <c r="B16" s="10" t="s">
        <v>174</v>
      </c>
      <c r="C16" s="543" t="s">
        <v>175</v>
      </c>
      <c r="D16" s="543"/>
      <c r="E16" s="543"/>
      <c r="F16" s="543"/>
      <c r="G16" s="8"/>
      <c r="H16" s="12"/>
      <c r="I16" s="12"/>
      <c r="J16" s="12"/>
    </row>
    <row r="17" spans="1:10" ht="25.5">
      <c r="A17" s="13" t="s">
        <v>41</v>
      </c>
      <c r="B17" s="14" t="s">
        <v>176</v>
      </c>
      <c r="C17" s="535" t="s">
        <v>177</v>
      </c>
      <c r="D17" s="535"/>
      <c r="E17" s="535"/>
      <c r="F17" s="535"/>
      <c r="G17" s="18">
        <f>SUM(G16)</f>
        <v>0</v>
      </c>
      <c r="H17" s="18">
        <v>0</v>
      </c>
      <c r="I17" s="18">
        <v>0</v>
      </c>
      <c r="J17" s="18">
        <v>0</v>
      </c>
    </row>
    <row r="18" spans="1:10" ht="15">
      <c r="A18" s="5" t="s">
        <v>44</v>
      </c>
      <c r="B18" s="10" t="s">
        <v>178</v>
      </c>
      <c r="C18" s="543" t="s">
        <v>179</v>
      </c>
      <c r="D18" s="543"/>
      <c r="E18" s="543"/>
      <c r="F18" s="543"/>
      <c r="G18" s="8"/>
      <c r="H18" s="9"/>
      <c r="I18" s="9"/>
      <c r="J18" s="9"/>
    </row>
    <row r="19" spans="1:10" ht="15">
      <c r="A19" s="5" t="s">
        <v>47</v>
      </c>
      <c r="B19" s="10" t="s">
        <v>180</v>
      </c>
      <c r="C19" s="543" t="s">
        <v>181</v>
      </c>
      <c r="D19" s="543"/>
      <c r="E19" s="543"/>
      <c r="F19" s="543"/>
      <c r="G19" s="8"/>
      <c r="H19" s="9"/>
      <c r="I19" s="9"/>
      <c r="J19" s="9"/>
    </row>
    <row r="20" spans="1:10" ht="15">
      <c r="A20" s="5" t="s">
        <v>50</v>
      </c>
      <c r="B20" s="10" t="s">
        <v>182</v>
      </c>
      <c r="C20" s="543" t="s">
        <v>183</v>
      </c>
      <c r="D20" s="543"/>
      <c r="E20" s="543"/>
      <c r="F20" s="543"/>
      <c r="G20" s="8"/>
      <c r="H20" s="9"/>
      <c r="I20" s="9"/>
      <c r="J20" s="9"/>
    </row>
    <row r="21" spans="1:10" ht="15">
      <c r="A21" s="5" t="s">
        <v>53</v>
      </c>
      <c r="B21" s="10" t="s">
        <v>184</v>
      </c>
      <c r="C21" s="543" t="s">
        <v>185</v>
      </c>
      <c r="D21" s="543"/>
      <c r="E21" s="543"/>
      <c r="F21" s="543"/>
      <c r="G21" s="8"/>
      <c r="H21" s="9"/>
      <c r="I21" s="9"/>
      <c r="J21" s="9"/>
    </row>
    <row r="22" spans="1:10" ht="15">
      <c r="A22" s="13" t="s">
        <v>56</v>
      </c>
      <c r="B22" s="14" t="s">
        <v>186</v>
      </c>
      <c r="C22" s="535" t="s">
        <v>187</v>
      </c>
      <c r="D22" s="535"/>
      <c r="E22" s="535"/>
      <c r="F22" s="535"/>
      <c r="G22" s="18">
        <f>SUM(G18:G21)</f>
        <v>0</v>
      </c>
      <c r="H22" s="18">
        <v>0</v>
      </c>
      <c r="I22" s="18">
        <v>0</v>
      </c>
      <c r="J22" s="18">
        <v>0</v>
      </c>
    </row>
    <row r="23" spans="1:10" ht="15">
      <c r="A23" s="5" t="s">
        <v>59</v>
      </c>
      <c r="B23" s="19" t="s">
        <v>188</v>
      </c>
      <c r="C23" s="543" t="s">
        <v>189</v>
      </c>
      <c r="D23" s="543"/>
      <c r="E23" s="543"/>
      <c r="F23" s="543"/>
      <c r="G23" s="8"/>
      <c r="H23" s="9"/>
      <c r="I23" s="9"/>
      <c r="J23" s="9"/>
    </row>
    <row r="24" spans="1:10" ht="15">
      <c r="A24" s="5" t="s">
        <v>62</v>
      </c>
      <c r="B24" s="19" t="s">
        <v>190</v>
      </c>
      <c r="C24" s="543" t="s">
        <v>191</v>
      </c>
      <c r="D24" s="543"/>
      <c r="E24" s="543"/>
      <c r="F24" s="543"/>
      <c r="G24" s="8">
        <v>275590</v>
      </c>
      <c r="H24" s="8">
        <v>0</v>
      </c>
      <c r="I24" s="8">
        <f>G24</f>
        <v>275590</v>
      </c>
      <c r="J24" s="8">
        <v>0</v>
      </c>
    </row>
    <row r="25" spans="1:10" ht="15">
      <c r="A25" s="5" t="s">
        <v>65</v>
      </c>
      <c r="B25" s="19" t="s">
        <v>192</v>
      </c>
      <c r="C25" s="543" t="s">
        <v>193</v>
      </c>
      <c r="D25" s="543"/>
      <c r="E25" s="543"/>
      <c r="F25" s="543"/>
      <c r="G25" s="8"/>
      <c r="H25" s="9"/>
      <c r="I25" s="12"/>
      <c r="J25" s="9"/>
    </row>
    <row r="26" spans="1:10" ht="15">
      <c r="A26" s="5" t="s">
        <v>68</v>
      </c>
      <c r="B26" s="19" t="s">
        <v>194</v>
      </c>
      <c r="C26" s="543" t="s">
        <v>195</v>
      </c>
      <c r="D26" s="543"/>
      <c r="E26" s="543"/>
      <c r="F26" s="543"/>
      <c r="G26" s="8"/>
      <c r="H26" s="9"/>
      <c r="I26" s="9"/>
      <c r="J26" s="9"/>
    </row>
    <row r="27" spans="1:10" ht="15">
      <c r="A27" s="5" t="s">
        <v>71</v>
      </c>
      <c r="B27" s="19" t="s">
        <v>196</v>
      </c>
      <c r="C27" s="543" t="s">
        <v>197</v>
      </c>
      <c r="D27" s="543"/>
      <c r="E27" s="543"/>
      <c r="F27" s="543"/>
      <c r="G27" s="8"/>
      <c r="H27" s="9"/>
      <c r="I27" s="9"/>
      <c r="J27" s="9"/>
    </row>
    <row r="28" spans="1:10" ht="15">
      <c r="A28" s="5" t="s">
        <v>74</v>
      </c>
      <c r="B28" s="19" t="s">
        <v>198</v>
      </c>
      <c r="C28" s="543" t="s">
        <v>199</v>
      </c>
      <c r="D28" s="543"/>
      <c r="E28" s="543"/>
      <c r="F28" s="543"/>
      <c r="G28" s="8">
        <f>(G24*0.27)+1</f>
        <v>74410.3</v>
      </c>
      <c r="H28" s="8">
        <f>H24*0.05%</f>
        <v>0</v>
      </c>
      <c r="I28" s="8">
        <f>G28</f>
        <v>74410.3</v>
      </c>
      <c r="J28" s="8">
        <f>J24*0.05%</f>
        <v>0</v>
      </c>
    </row>
    <row r="29" spans="1:10" ht="15">
      <c r="A29" s="13" t="s">
        <v>77</v>
      </c>
      <c r="B29" s="39" t="s">
        <v>200</v>
      </c>
      <c r="C29" s="535" t="s">
        <v>201</v>
      </c>
      <c r="D29" s="535"/>
      <c r="E29" s="535"/>
      <c r="F29" s="535"/>
      <c r="G29" s="18">
        <f>SUM(G23:G28)</f>
        <v>350000.3</v>
      </c>
      <c r="H29" s="18">
        <f>SUM(H23:H28)</f>
        <v>0</v>
      </c>
      <c r="I29" s="18">
        <f>SUM(I24:I28)</f>
        <v>350000.3</v>
      </c>
      <c r="J29" s="18">
        <v>0</v>
      </c>
    </row>
    <row r="30" spans="1:10" ht="15">
      <c r="A30" s="40" t="s">
        <v>80</v>
      </c>
      <c r="B30" s="21" t="s">
        <v>202</v>
      </c>
      <c r="C30" s="7" t="s">
        <v>203</v>
      </c>
      <c r="D30" s="22"/>
      <c r="E30" s="22"/>
      <c r="F30" s="22"/>
      <c r="G30" s="45"/>
      <c r="H30" s="9"/>
      <c r="I30" s="9"/>
      <c r="J30" s="9"/>
    </row>
    <row r="31" spans="1:10" ht="15">
      <c r="A31" s="13" t="s">
        <v>83</v>
      </c>
      <c r="B31" s="39" t="s">
        <v>204</v>
      </c>
      <c r="C31" s="23" t="s">
        <v>203</v>
      </c>
      <c r="D31" s="23"/>
      <c r="E31" s="23"/>
      <c r="F31" s="23"/>
      <c r="G31" s="18">
        <f>SUM(G30)</f>
        <v>0</v>
      </c>
      <c r="H31" s="18">
        <v>0</v>
      </c>
      <c r="I31" s="18">
        <v>0</v>
      </c>
      <c r="J31" s="18">
        <v>0</v>
      </c>
    </row>
    <row r="32" spans="1:10" ht="38.25">
      <c r="A32" s="5" t="s">
        <v>86</v>
      </c>
      <c r="B32" s="10" t="s">
        <v>206</v>
      </c>
      <c r="C32" s="543" t="s">
        <v>207</v>
      </c>
      <c r="D32" s="543"/>
      <c r="E32" s="543"/>
      <c r="F32" s="543"/>
      <c r="G32" s="8"/>
      <c r="H32" s="9"/>
      <c r="I32" s="9"/>
      <c r="J32" s="9"/>
    </row>
    <row r="33" spans="1:10" ht="15">
      <c r="A33" s="13" t="s">
        <v>89</v>
      </c>
      <c r="B33" s="14" t="s">
        <v>208</v>
      </c>
      <c r="C33" s="535" t="s">
        <v>209</v>
      </c>
      <c r="D33" s="535"/>
      <c r="E33" s="535"/>
      <c r="F33" s="535"/>
      <c r="G33" s="18">
        <f>SUM(G32)</f>
        <v>0</v>
      </c>
      <c r="H33" s="18">
        <v>0</v>
      </c>
      <c r="I33" s="18">
        <v>0</v>
      </c>
      <c r="J33" s="18">
        <v>0</v>
      </c>
    </row>
    <row r="34" spans="1:10" ht="25.5">
      <c r="A34" s="5" t="s">
        <v>92</v>
      </c>
      <c r="B34" s="10" t="s">
        <v>210</v>
      </c>
      <c r="C34" s="7" t="s">
        <v>211</v>
      </c>
      <c r="D34" s="22"/>
      <c r="E34" s="22"/>
      <c r="F34" s="22"/>
      <c r="G34" s="45"/>
      <c r="H34" s="9"/>
      <c r="I34" s="9"/>
      <c r="J34" s="9"/>
    </row>
    <row r="35" spans="1:10" ht="15">
      <c r="A35" s="13" t="s">
        <v>95</v>
      </c>
      <c r="B35" s="14" t="s">
        <v>212</v>
      </c>
      <c r="C35" s="535" t="s">
        <v>213</v>
      </c>
      <c r="D35" s="535"/>
      <c r="E35" s="535"/>
      <c r="F35" s="535"/>
      <c r="G35" s="18">
        <f>SUM(G34)</f>
        <v>0</v>
      </c>
      <c r="H35" s="18">
        <v>0</v>
      </c>
      <c r="I35" s="18">
        <v>0</v>
      </c>
      <c r="J35" s="18">
        <v>0</v>
      </c>
    </row>
    <row r="36" spans="1:10" ht="25.5">
      <c r="A36" s="13" t="s">
        <v>98</v>
      </c>
      <c r="B36" s="28" t="s">
        <v>214</v>
      </c>
      <c r="C36" s="535" t="s">
        <v>215</v>
      </c>
      <c r="D36" s="535"/>
      <c r="E36" s="535"/>
      <c r="F36" s="535"/>
      <c r="G36" s="18">
        <f>G15+G17+G22+G29+G33+G35</f>
        <v>2207715.3</v>
      </c>
      <c r="H36" s="18">
        <f>H35+H33+H31+H29+H22+H17+H15</f>
        <v>0</v>
      </c>
      <c r="I36" s="18">
        <f>I15+I17+I22+I29+I31+I33+I35</f>
        <v>350000.3</v>
      </c>
      <c r="J36" s="18">
        <v>0</v>
      </c>
    </row>
    <row r="37" spans="1:10" ht="15">
      <c r="A37" s="29"/>
      <c r="B37" s="2"/>
      <c r="C37" s="2"/>
      <c r="D37" s="2"/>
      <c r="E37" s="2"/>
      <c r="F37" s="2"/>
      <c r="G37" s="30"/>
      <c r="H37" s="2"/>
      <c r="I37" s="2"/>
      <c r="J37" s="2"/>
    </row>
    <row r="38" spans="1:10" ht="15">
      <c r="A38" s="579" t="s">
        <v>216</v>
      </c>
      <c r="B38" s="579"/>
      <c r="C38" s="579"/>
      <c r="D38" s="579"/>
      <c r="E38" s="579"/>
      <c r="F38" s="579"/>
      <c r="G38" s="579"/>
      <c r="H38" s="558"/>
      <c r="I38" s="558"/>
      <c r="J38" s="558"/>
    </row>
    <row r="39" spans="1:11" ht="15">
      <c r="A39" s="537" t="s">
        <v>3</v>
      </c>
      <c r="B39" s="538" t="s">
        <v>4</v>
      </c>
      <c r="C39" s="539" t="s">
        <v>5</v>
      </c>
      <c r="D39" s="539"/>
      <c r="E39" s="539"/>
      <c r="F39" s="539"/>
      <c r="G39" s="546" t="s">
        <v>144</v>
      </c>
      <c r="H39" s="602"/>
      <c r="I39" s="602"/>
      <c r="J39" s="602"/>
      <c r="K39" s="288"/>
    </row>
    <row r="40" spans="1:11" ht="15">
      <c r="A40" s="537"/>
      <c r="B40" s="538"/>
      <c r="C40" s="539"/>
      <c r="D40" s="539"/>
      <c r="E40" s="539"/>
      <c r="F40" s="539"/>
      <c r="G40" s="546"/>
      <c r="H40" s="289"/>
      <c r="I40" s="289"/>
      <c r="J40" s="289"/>
      <c r="K40" s="288"/>
    </row>
    <row r="41" spans="1:11" ht="25.5">
      <c r="A41" s="5" t="s">
        <v>101</v>
      </c>
      <c r="B41" s="19" t="s">
        <v>217</v>
      </c>
      <c r="C41" s="543" t="s">
        <v>218</v>
      </c>
      <c r="D41" s="543"/>
      <c r="E41" s="543"/>
      <c r="F41" s="543"/>
      <c r="G41" s="8">
        <f>774304+15405</f>
        <v>789709</v>
      </c>
      <c r="H41" s="290"/>
      <c r="I41" s="287"/>
      <c r="J41" s="287"/>
      <c r="K41" s="288"/>
    </row>
    <row r="42" spans="1:11" ht="15">
      <c r="A42" s="5" t="s">
        <v>104</v>
      </c>
      <c r="B42" s="19" t="s">
        <v>219</v>
      </c>
      <c r="C42" s="543" t="s">
        <v>220</v>
      </c>
      <c r="D42" s="543"/>
      <c r="E42" s="543"/>
      <c r="F42" s="543"/>
      <c r="G42" s="8"/>
      <c r="H42" s="287"/>
      <c r="I42" s="287"/>
      <c r="J42" s="287"/>
      <c r="K42" s="288"/>
    </row>
    <row r="43" spans="1:11" ht="15">
      <c r="A43" s="5" t="s">
        <v>107</v>
      </c>
      <c r="B43" s="19" t="s">
        <v>221</v>
      </c>
      <c r="C43" s="41" t="s">
        <v>222</v>
      </c>
      <c r="D43" s="42"/>
      <c r="E43" s="42"/>
      <c r="F43" s="43"/>
      <c r="G43" s="8">
        <f>'Könyvtár kiad'!G60-'Könyvtár bev.'!G36-'Könyvtár bev.'!G41</f>
        <v>17811706.639999997</v>
      </c>
      <c r="H43" s="290"/>
      <c r="I43" s="287"/>
      <c r="J43" s="287"/>
      <c r="K43" s="288"/>
    </row>
    <row r="44" spans="1:11" ht="15">
      <c r="A44" s="13" t="s">
        <v>110</v>
      </c>
      <c r="B44" s="28" t="s">
        <v>223</v>
      </c>
      <c r="C44" s="544" t="s">
        <v>224</v>
      </c>
      <c r="D44" s="534"/>
      <c r="E44" s="534"/>
      <c r="F44" s="545"/>
      <c r="G44" s="18">
        <f>SUM(G41:G43)</f>
        <v>18601415.639999997</v>
      </c>
      <c r="H44" s="291"/>
      <c r="I44" s="287"/>
      <c r="J44" s="287"/>
      <c r="K44" s="288"/>
    </row>
    <row r="45" spans="1:11" ht="15">
      <c r="A45" s="34"/>
      <c r="B45" s="2"/>
      <c r="C45" s="2"/>
      <c r="D45" s="2"/>
      <c r="E45" s="2"/>
      <c r="F45" s="2"/>
      <c r="G45" s="30"/>
      <c r="H45" s="287"/>
      <c r="I45" s="287"/>
      <c r="J45" s="287"/>
      <c r="K45" s="288"/>
    </row>
    <row r="46" spans="1:11" ht="15">
      <c r="A46" s="35"/>
      <c r="B46" s="36" t="s">
        <v>225</v>
      </c>
      <c r="C46" s="534"/>
      <c r="D46" s="534"/>
      <c r="E46" s="534"/>
      <c r="F46" s="534"/>
      <c r="G46" s="293">
        <f>G44+G36</f>
        <v>20809130.939999998</v>
      </c>
      <c r="H46" s="291"/>
      <c r="I46" s="287"/>
      <c r="J46" s="287"/>
      <c r="K46" s="292"/>
    </row>
    <row r="47" spans="8:11" ht="15">
      <c r="H47" s="288"/>
      <c r="I47" s="288"/>
      <c r="J47" s="288"/>
      <c r="K47" s="288"/>
    </row>
    <row r="48" spans="8:11" ht="15">
      <c r="H48" s="288"/>
      <c r="I48" s="288"/>
      <c r="J48" s="288"/>
      <c r="K48" s="288"/>
    </row>
  </sheetData>
  <sheetProtection/>
  <mergeCells count="45">
    <mergeCell ref="C41:F41"/>
    <mergeCell ref="C42:F42"/>
    <mergeCell ref="C44:F44"/>
    <mergeCell ref="C46:F46"/>
    <mergeCell ref="C36:F36"/>
    <mergeCell ref="A38:J38"/>
    <mergeCell ref="A39:A40"/>
    <mergeCell ref="B39:B40"/>
    <mergeCell ref="C39:F40"/>
    <mergeCell ref="G39:G40"/>
    <mergeCell ref="H39:J39"/>
    <mergeCell ref="C27:F27"/>
    <mergeCell ref="C28:F28"/>
    <mergeCell ref="C29:F29"/>
    <mergeCell ref="C32:F32"/>
    <mergeCell ref="C33:F33"/>
    <mergeCell ref="C35:F35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0:F20"/>
    <mergeCell ref="C7:F7"/>
    <mergeCell ref="C8:F8"/>
    <mergeCell ref="C9:F9"/>
    <mergeCell ref="C12:F12"/>
    <mergeCell ref="C13:F13"/>
    <mergeCell ref="C14:F14"/>
    <mergeCell ref="C10:F10"/>
    <mergeCell ref="C11:F11"/>
    <mergeCell ref="A1:J1"/>
    <mergeCell ref="A3:J3"/>
    <mergeCell ref="A4:J4"/>
    <mergeCell ref="A5:A6"/>
    <mergeCell ref="B5:B6"/>
    <mergeCell ref="C5:F6"/>
    <mergeCell ref="G5:G6"/>
    <mergeCell ref="H5:J5"/>
  </mergeCells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2022-02-10T17:00:57Z</cp:lastPrinted>
  <dcterms:created xsi:type="dcterms:W3CDTF">2022-01-21T20:06:41Z</dcterms:created>
  <dcterms:modified xsi:type="dcterms:W3CDTF">2022-02-18T13:22:19Z</dcterms:modified>
  <cp:category/>
  <cp:version/>
  <cp:contentType/>
  <cp:contentStatus/>
</cp:coreProperties>
</file>