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4" activeTab="0"/>
  </bookViews>
  <sheets>
    <sheet name="bev.össz" sheetId="1" r:id="rId1"/>
    <sheet name="kiadás össz." sheetId="2" r:id="rId2"/>
    <sheet name="önkorm.bev" sheetId="3" r:id="rId3"/>
    <sheet name="önkorm. kiad" sheetId="4" r:id="rId4"/>
    <sheet name="Hivatal bevétel" sheetId="5" r:id="rId5"/>
    <sheet name="Hiv. kiadás" sheetId="6" r:id="rId6"/>
    <sheet name="Óvoda bev." sheetId="7" r:id="rId7"/>
    <sheet name="Óvoda kiad." sheetId="8" r:id="rId8"/>
    <sheet name="Könyvtár bev." sheetId="9" r:id="rId9"/>
    <sheet name="Könyvtár kiad" sheetId="10" r:id="rId10"/>
    <sheet name="Beruházás" sheetId="11" r:id="rId11"/>
    <sheet name="tartalék" sheetId="12" r:id="rId12"/>
    <sheet name="maradvány" sheetId="13" r:id="rId13"/>
    <sheet name="Mérleg" sheetId="14" r:id="rId14"/>
    <sheet name="létszám" sheetId="15" r:id="rId15"/>
    <sheet name="Tervezett" sheetId="16" r:id="rId16"/>
    <sheet name="Közvetett tám." sheetId="17" r:id="rId17"/>
    <sheet name="Többéves" sheetId="18" r:id="rId18"/>
    <sheet name="Ütemterv" sheetId="19" r:id="rId19"/>
    <sheet name="Adósságot" sheetId="20" r:id="rId20"/>
    <sheet name="EU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4" authorId="0">
      <text>
        <r>
          <rPr>
            <b/>
            <sz val="9"/>
            <rFont val="Segoe UI"/>
            <family val="2"/>
          </rPr>
          <t>User:</t>
        </r>
        <r>
          <rPr>
            <sz val="9"/>
            <rFont val="Segoe UI"/>
            <family val="2"/>
          </rPr>
          <t xml:space="preserve">
TB, közfogl, 
</t>
        </r>
      </text>
    </comment>
  </commentList>
</comments>
</file>

<file path=xl/comments4.xml><?xml version="1.0" encoding="utf-8"?>
<comments xmlns="http://schemas.openxmlformats.org/spreadsheetml/2006/main">
  <authors>
    <author>Rupert ?gnes</author>
  </authors>
  <commentList>
    <comment ref="B37" authorId="0">
      <text>
        <r>
          <rPr>
            <b/>
            <sz val="9"/>
            <rFont val="Tahoma"/>
            <family val="2"/>
          </rPr>
          <t>Rupert Ágnes:</t>
        </r>
        <r>
          <rPr>
            <sz val="9"/>
            <rFont val="Tahoma"/>
            <family val="2"/>
          </rPr>
          <t xml:space="preserve">
Bursa Hungarika, 
</t>
        </r>
      </text>
    </comment>
    <comment ref="B56" authorId="0">
      <text>
        <r>
          <rPr>
            <b/>
            <sz val="9"/>
            <rFont val="Tahoma"/>
            <family val="2"/>
          </rPr>
          <t>Rupert Ágnes:</t>
        </r>
        <r>
          <rPr>
            <sz val="9"/>
            <rFont val="Tahoma"/>
            <family val="2"/>
          </rPr>
          <t xml:space="preserve">
2020 évi megelőlegezések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B24" authorId="0">
      <text>
        <r>
          <rPr>
            <b/>
            <sz val="9"/>
            <rFont val="Segoe UI"/>
            <family val="2"/>
          </rPr>
          <t>User:</t>
        </r>
        <r>
          <rPr>
            <sz val="9"/>
            <rFont val="Segoe UI"/>
            <family val="2"/>
          </rPr>
          <t xml:space="preserve">
eladott termény, termék bev.</t>
        </r>
      </text>
    </comment>
  </commentList>
</comments>
</file>

<file path=xl/sharedStrings.xml><?xml version="1.0" encoding="utf-8"?>
<sst xmlns="http://schemas.openxmlformats.org/spreadsheetml/2006/main" count="1757" uniqueCount="451">
  <si>
    <t>4. melléklet a …………………... önkormányzati rendelethez</t>
  </si>
  <si>
    <t xml:space="preserve">SZENTMÁRTONKÁTA NAGYKÖZSÉG ÖNKORMÁNYZATA </t>
  </si>
  <si>
    <t>K1-K8. Költségvetési kiadások</t>
  </si>
  <si>
    <t>Sor-
szám</t>
  </si>
  <si>
    <t>Rovat megnevezése</t>
  </si>
  <si>
    <t>Rovat
szám</t>
  </si>
  <si>
    <t>Eredeti előriányzat 2021</t>
  </si>
  <si>
    <t>Ebből:</t>
  </si>
  <si>
    <t>Kötelező        feladat</t>
  </si>
  <si>
    <t>Önként váll.  feladat</t>
  </si>
  <si>
    <t>Állami            feladat</t>
  </si>
  <si>
    <t>01</t>
  </si>
  <si>
    <t>Törvény szerinti illetmények, munkabérek</t>
  </si>
  <si>
    <t>K1101</t>
  </si>
  <si>
    <t>02</t>
  </si>
  <si>
    <t>Céljuttatás, projektprémium</t>
  </si>
  <si>
    <t>K1103</t>
  </si>
  <si>
    <t>03</t>
  </si>
  <si>
    <t>Készenléti, ügyeleti, helyettesítési díj, túlóra, túlszolgálat</t>
  </si>
  <si>
    <t>K1104</t>
  </si>
  <si>
    <t>04</t>
  </si>
  <si>
    <t>Jubileumi jutalom</t>
  </si>
  <si>
    <t>K1106</t>
  </si>
  <si>
    <t>05</t>
  </si>
  <si>
    <t>Béren kívüli juttatások</t>
  </si>
  <si>
    <t>K1107</t>
  </si>
  <si>
    <t>06</t>
  </si>
  <si>
    <t>Ruházati költségtérítés</t>
  </si>
  <si>
    <t>K1108</t>
  </si>
  <si>
    <t>07</t>
  </si>
  <si>
    <t>Közlekedési költségtérítés</t>
  </si>
  <si>
    <t>K1109</t>
  </si>
  <si>
    <t>08</t>
  </si>
  <si>
    <t>Egyéb költségtérítések</t>
  </si>
  <si>
    <t>K1110</t>
  </si>
  <si>
    <t>09</t>
  </si>
  <si>
    <t>Foglalkoztatottak egyéb juttatásai</t>
  </si>
  <si>
    <t>K1113</t>
  </si>
  <si>
    <t>10</t>
  </si>
  <si>
    <t>Választott tisztségviselők juttatásai</t>
  </si>
  <si>
    <t>K121</t>
  </si>
  <si>
    <t>11</t>
  </si>
  <si>
    <t>Munkavégzésre irányuló egyéb jogviszonyban nem saját foglalkoztatottnak fizetett juttatások</t>
  </si>
  <si>
    <t>K122</t>
  </si>
  <si>
    <t>12</t>
  </si>
  <si>
    <t>Egyéb külső személyi juttatások</t>
  </si>
  <si>
    <t>K123</t>
  </si>
  <si>
    <t>13</t>
  </si>
  <si>
    <t>Személyi juttatások</t>
  </si>
  <si>
    <t>K1</t>
  </si>
  <si>
    <t>14</t>
  </si>
  <si>
    <t>Munkaadókat terhelő járulékok és szociális hozzájárulási adó</t>
  </si>
  <si>
    <t>K2</t>
  </si>
  <si>
    <t>15</t>
  </si>
  <si>
    <t>Szakmai anyagok beszerzése</t>
  </si>
  <si>
    <t>K311</t>
  </si>
  <si>
    <t>16</t>
  </si>
  <si>
    <t>Üzemeltetési anyagok beszerzése</t>
  </si>
  <si>
    <t>K312</t>
  </si>
  <si>
    <t>17</t>
  </si>
  <si>
    <t>Informatikai szolgáltatások igénybevétele</t>
  </si>
  <si>
    <t>K321</t>
  </si>
  <si>
    <t>18</t>
  </si>
  <si>
    <t>Egyéb kommunikációs szolgáltatások</t>
  </si>
  <si>
    <t>K322</t>
  </si>
  <si>
    <t>19</t>
  </si>
  <si>
    <t>Közüzemi díjak</t>
  </si>
  <si>
    <t>K331</t>
  </si>
  <si>
    <t>20</t>
  </si>
  <si>
    <t>Karbantartási, kisjavítási szolgáltatások</t>
  </si>
  <si>
    <t>K334</t>
  </si>
  <si>
    <t>21</t>
  </si>
  <si>
    <t>Közvetített szolgáltatások</t>
  </si>
  <si>
    <t>K335</t>
  </si>
  <si>
    <t>22</t>
  </si>
  <si>
    <t>Szakmai tevékenységet segítő szolgáltatások</t>
  </si>
  <si>
    <t>K336</t>
  </si>
  <si>
    <t>23</t>
  </si>
  <si>
    <t>Egyéb szolgáltatások</t>
  </si>
  <si>
    <t>K337</t>
  </si>
  <si>
    <t>24</t>
  </si>
  <si>
    <t>Kiküldetések kiadásai</t>
  </si>
  <si>
    <t>K341</t>
  </si>
  <si>
    <t>25</t>
  </si>
  <si>
    <t>Működési célú előzetesen felszámított általános forgalmi adó</t>
  </si>
  <si>
    <t>K351</t>
  </si>
  <si>
    <t>26</t>
  </si>
  <si>
    <t>Fizetendő általános forgalmi adó</t>
  </si>
  <si>
    <t>K352</t>
  </si>
  <si>
    <t>27</t>
  </si>
  <si>
    <t>Dologi kiadások</t>
  </si>
  <si>
    <t>K3</t>
  </si>
  <si>
    <t>28</t>
  </si>
  <si>
    <t>Betegséggel kapcsolatos ellátások</t>
  </si>
  <si>
    <t>K44</t>
  </si>
  <si>
    <t>29</t>
  </si>
  <si>
    <t>Egyéb nem intézményi ellátások</t>
  </si>
  <si>
    <t>K48</t>
  </si>
  <si>
    <t>30</t>
  </si>
  <si>
    <t>Ellátottak pénzbeli juttatásai</t>
  </si>
  <si>
    <t>K4</t>
  </si>
  <si>
    <t>31</t>
  </si>
  <si>
    <t>Egyéb működési célú támogatások államháztartáson belülre</t>
  </si>
  <si>
    <t>K506</t>
  </si>
  <si>
    <t>32</t>
  </si>
  <si>
    <t>Egyéb működési célú támogatások államháztartáson kívülre</t>
  </si>
  <si>
    <t>K512</t>
  </si>
  <si>
    <t>33</t>
  </si>
  <si>
    <t>Tartalékok</t>
  </si>
  <si>
    <t>K513</t>
  </si>
  <si>
    <t>34</t>
  </si>
  <si>
    <t>Egyéb működési célú kiadások</t>
  </si>
  <si>
    <t>K5</t>
  </si>
  <si>
    <t>35</t>
  </si>
  <si>
    <t>Ingatlanok beszerzése, létesítése</t>
  </si>
  <si>
    <t>K62</t>
  </si>
  <si>
    <t>36</t>
  </si>
  <si>
    <t>Egyéb tárgyi eszközök beszerzése, létesítése</t>
  </si>
  <si>
    <t>K64</t>
  </si>
  <si>
    <t>37</t>
  </si>
  <si>
    <t>Beruházási célú előzetesen felszámított általános forgalmi adó</t>
  </si>
  <si>
    <t>K67</t>
  </si>
  <si>
    <t>38</t>
  </si>
  <si>
    <t>Beruházások</t>
  </si>
  <si>
    <t>K6</t>
  </si>
  <si>
    <t>39</t>
  </si>
  <si>
    <t>Ingatlanok felújítása</t>
  </si>
  <si>
    <t>K71</t>
  </si>
  <si>
    <t>40</t>
  </si>
  <si>
    <t>Felújítási célú előzetesen felszámított általános forgalmi adó</t>
  </si>
  <si>
    <t>K74</t>
  </si>
  <si>
    <t>41</t>
  </si>
  <si>
    <t>Felújítások</t>
  </si>
  <si>
    <t>K7</t>
  </si>
  <si>
    <t>42</t>
  </si>
  <si>
    <t>Felhalmozási célú garancia- és kezességvállalásból származó kifizetés államháztartáson kívülre</t>
  </si>
  <si>
    <t>K85</t>
  </si>
  <si>
    <t>43</t>
  </si>
  <si>
    <t>Egyéb felhalmozási célú kiadások</t>
  </si>
  <si>
    <t>K8</t>
  </si>
  <si>
    <t>44</t>
  </si>
  <si>
    <t>Költségvetési kiadások</t>
  </si>
  <si>
    <t>K1-K8</t>
  </si>
  <si>
    <t>K9. Finanszírozási kiadások</t>
  </si>
  <si>
    <t>Eredeti előriányzat</t>
  </si>
  <si>
    <t>Államháztartáson belüli megelőlegezések visszafizetése</t>
  </si>
  <si>
    <t>K914</t>
  </si>
  <si>
    <t>45</t>
  </si>
  <si>
    <t>Központi irányítő szervi támogatások folyósítása</t>
  </si>
  <si>
    <t>K915</t>
  </si>
  <si>
    <t>46</t>
  </si>
  <si>
    <t>Finanszírozási kiadások</t>
  </si>
  <si>
    <t>K9</t>
  </si>
  <si>
    <t>Kiadások mindösszesen</t>
  </si>
  <si>
    <t>3. melléklet a ………….. önkormányzati rendelethez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</si>
  <si>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</si>
  <si>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</si>
  <si>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</si>
  <si>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</si>
  <si>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</si>
  <si>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egyes szociális és gyermekjóléti feladatainak támogatása</t>
  </si>
  <si>
    <t>B1131</t>
  </si>
  <si>
    <t>Települési önkormányzatok gyermekétkeztetési felaatinak támogatása</t>
  </si>
  <si>
    <t>B1132</t>
  </si>
  <si>
    <t>Települési önkormányzatok szociális gyermekjóléti és gyermekétkezttési feladatinak támogatása</t>
  </si>
  <si>
    <t>B113</t>
  </si>
  <si>
    <t>Települési önkormányzatok kulturális feladatainak támogatása</t>
  </si>
  <si>
    <t>B114</t>
  </si>
  <si>
    <t>Elszámolásból származó bevételek</t>
  </si>
  <si>
    <t>B116</t>
  </si>
  <si>
    <t>Egyéb működési célú támogatások bevételei államháztartáson belülről</t>
  </si>
  <si>
    <t>B16</t>
  </si>
  <si>
    <t>Működési célú támogatások államháztartáson belülről (=09+…+14)</t>
  </si>
  <si>
    <t>B1</t>
  </si>
  <si>
    <t>Egyéb felhalmozási célú támogatások bevételei államháztartáson belülről</t>
  </si>
  <si>
    <t>B25</t>
  </si>
  <si>
    <t>Felhalmozási célú támogatások államháztartáson belülről (=16+…+20)</t>
  </si>
  <si>
    <t>B2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</si>
  <si>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</si>
  <si>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</si>
  <si>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</si>
  <si>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</si>
  <si>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</si>
  <si>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</si>
  <si>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 xml:space="preserve">Egyéb közhatalmi bevételek </t>
  </si>
  <si>
    <t>B36</t>
  </si>
  <si>
    <t>Közhatalmi bevételek (=27+...+34)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</si>
  <si>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</si>
  <si>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</si>
  <si>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</si>
  <si>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</si>
  <si>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</si>
  <si>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</si>
  <si>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</si>
  <si>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</si>
  <si>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</si>
  <si>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</si>
  <si>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</si>
  <si>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</si>
  <si>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</si>
  <si>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Működési bevételek (=36+…+41)</t>
  </si>
  <si>
    <t>B4</t>
  </si>
  <si>
    <t>Ingatlanok értékesítése</t>
  </si>
  <si>
    <t>B52</t>
  </si>
  <si>
    <t>Felhalmozási bevételek</t>
  </si>
  <si>
    <t>B5</t>
  </si>
  <si>
    <t>Működési célú visszatérítendő támogatások, kölcsönök visszatérülése államháztartáson kívülről</t>
  </si>
  <si>
    <t>B64</t>
  </si>
  <si>
    <t>Működési célú átvett pénzeszközök (=61)</t>
  </si>
  <si>
    <t>B6</t>
  </si>
  <si>
    <t>Egyéb felhalmozási célú átvett pénzeszközök</t>
  </si>
  <si>
    <t>B75</t>
  </si>
  <si>
    <t>Felhalmozási célú átvett pénzeszközök</t>
  </si>
  <si>
    <t>B7</t>
  </si>
  <si>
    <t>Költségvetési bevételek (=15+21+35+51+63+69)</t>
  </si>
  <si>
    <t>B1-B7</t>
  </si>
  <si>
    <t>B8. Finanszírozási bevételek bevételek</t>
  </si>
  <si>
    <t xml:space="preserve">Előző év költségvetési maradványnak igénybevétele </t>
  </si>
  <si>
    <t>B8131</t>
  </si>
  <si>
    <t>Maradvány igénybevétele</t>
  </si>
  <si>
    <t>B813</t>
  </si>
  <si>
    <t>Központi, irányító szervi támogatás</t>
  </si>
  <si>
    <t>B816</t>
  </si>
  <si>
    <t>Finanszírozási bevételek</t>
  </si>
  <si>
    <t>B8</t>
  </si>
  <si>
    <t>Bevételek mindösszesen</t>
  </si>
  <si>
    <t>5. melléklet a …………………….. önkormányzati rendelethez</t>
  </si>
  <si>
    <t>SZENTMÁRTONKÁTA KÖZÖS ÖNKORMÁNYZATAI HIVATAL</t>
  </si>
  <si>
    <t xml:space="preserve">B8. Finanszírozási bevételek </t>
  </si>
  <si>
    <t>6. melléklet a ………………….. önkormányzati rendelethez</t>
  </si>
  <si>
    <t>SZENTMÁRTONKÁTAI KÖZÖS ÖNKORMÁNYZATI HIVATAL</t>
  </si>
  <si>
    <t>7. melléklet a ………………. önkormányzati rendelethez</t>
  </si>
  <si>
    <t>SZENTMÁRTONKÁTAI APRAJAFALVA ÓVODA ÉS KONYHA</t>
  </si>
  <si>
    <t>8. melléklet a …………………. önkormányzati rendelethez</t>
  </si>
  <si>
    <t>Készenléti, ügeleti, helyettesítési díj, túlóra, túlszolgálat</t>
  </si>
  <si>
    <t>Informatikai eszközök beszerzése</t>
  </si>
  <si>
    <t>K63</t>
  </si>
  <si>
    <t>9. melléklet a ……………….. önkormányzati rendelethez</t>
  </si>
  <si>
    <t>SZABÓ MAGDA NAGYKÖZSÉGI KÖNYVTÁR ÉS MŰVELŐDÉSI HÁZ</t>
  </si>
  <si>
    <t>10. melléklet a ………………...önkormányzati rendelethez</t>
  </si>
  <si>
    <t>Törvéy szerinti illetmények, munkabérek</t>
  </si>
  <si>
    <t>Állami normatíva</t>
  </si>
  <si>
    <t>Megnevezés</t>
  </si>
  <si>
    <t>Eredeti előirányzat</t>
  </si>
  <si>
    <t>Könyvtár</t>
  </si>
  <si>
    <t xml:space="preserve">Szentmártonkáta </t>
  </si>
  <si>
    <t>Szentlőrinckáta</t>
  </si>
  <si>
    <t>Tartalék megnevezése</t>
  </si>
  <si>
    <t>Kötelező feladat</t>
  </si>
  <si>
    <t>Önként vállalt feladat</t>
  </si>
  <si>
    <t>Összesen</t>
  </si>
  <si>
    <t>Előirányzat átcsoportosítási hatáskör / megjegyzés</t>
  </si>
  <si>
    <t>KT / Polgármester hatáskör</t>
  </si>
  <si>
    <t>Mindösszesen</t>
  </si>
  <si>
    <t>12. melléklet a ….............. önkormányzati rendelethez</t>
  </si>
  <si>
    <t>Kormányzati funkció</t>
  </si>
  <si>
    <t>Felhalmozási célú támogatások</t>
  </si>
  <si>
    <t>064010-Közvilágítás</t>
  </si>
  <si>
    <t>Közvilágítás korszerűsítés</t>
  </si>
  <si>
    <t>066020-Város és községgazd.</t>
  </si>
  <si>
    <t>Csatorna kiépítés a Jókai utcában</t>
  </si>
  <si>
    <t>Egyéb tárgyi eszközök beszerzése</t>
  </si>
  <si>
    <t>Járdaépítés</t>
  </si>
  <si>
    <t>Gépjárműbeszerzés</t>
  </si>
  <si>
    <t>011130 - Önkormányzatok és önkormányzati hivatalok jogalkotó és általános igazgatási tevékenysége</t>
  </si>
  <si>
    <t>091110-Óvodai nevelés, ellátás szakmai feladatai</t>
  </si>
  <si>
    <t>096015-Gyermekétkeztetés köznevelési intézményben</t>
  </si>
  <si>
    <t>11. melléklet a …........................ önkormányzati rendelethez</t>
  </si>
  <si>
    <t>Rovat szám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</si>
  <si>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</si>
  <si>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</si>
  <si>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</si>
  <si>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</si>
  <si>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Elláttotak pénzbeli juttatásai</t>
  </si>
  <si>
    <t>Működési költségvetés előirányzat csoport</t>
  </si>
  <si>
    <t>Felhalmozási célú támogatások államháztartáson belülről</t>
  </si>
  <si>
    <t>Felhalmozási költségvetés előirányzat csoport</t>
  </si>
  <si>
    <t>BEVÉTELEK ÖSSZESEN (B1-8)</t>
  </si>
  <si>
    <t>KIADÁSOK ÖSSZESEN (K1-9)</t>
  </si>
  <si>
    <t>2022. évi eredeti ei. (Ft)</t>
  </si>
  <si>
    <t>Költségvetési cím száma / neve</t>
  </si>
  <si>
    <t>Köztisztviselők</t>
  </si>
  <si>
    <t>Közalkalmazottak</t>
  </si>
  <si>
    <t>Munka törvénykönyve hatálya alatt lévők</t>
  </si>
  <si>
    <t>Tiszteltdíj alapján foglalkoztatottak</t>
  </si>
  <si>
    <t>Tervezett álláshely</t>
  </si>
  <si>
    <t>Évközi változás</t>
  </si>
  <si>
    <t>Szentmártonkáta Nagyközség Önkormányzata</t>
  </si>
  <si>
    <t xml:space="preserve"> - védőnői feladatok</t>
  </si>
  <si>
    <t xml:space="preserve"> - gyermekorvosi feladatok</t>
  </si>
  <si>
    <t xml:space="preserve"> - város és községgazdálkodási feladatok</t>
  </si>
  <si>
    <t xml:space="preserve"> - házi segítségnyújtás feladatok</t>
  </si>
  <si>
    <t xml:space="preserve"> - választott tisztségviselők</t>
  </si>
  <si>
    <t xml:space="preserve"> - közfoglalkoztatási feladatok</t>
  </si>
  <si>
    <t>Szentmártonkáta Nagyközség Önkormányzata összesen</t>
  </si>
  <si>
    <t>Szentmártonkátai Közös Önkormányzati Hivatal</t>
  </si>
  <si>
    <t xml:space="preserve"> - hivatali feladatok (Szentmártonkáta)</t>
  </si>
  <si>
    <t xml:space="preserve"> - hivatali feladatok (Szentlőrinckáta)</t>
  </si>
  <si>
    <t xml:space="preserve"> - család és gyermekjóléti szolgálat (Szentmártonkáta)</t>
  </si>
  <si>
    <t xml:space="preserve"> - család és gyermekjóléti szolgálat (Szentlőrinckáta)</t>
  </si>
  <si>
    <t>Szentmártonkátai Közös Önkormányzati Hivatal összesen</t>
  </si>
  <si>
    <t>Szentmártonkátai Aprajafalva Óvoda és Konyha</t>
  </si>
  <si>
    <t xml:space="preserve"> - óvodai feladatok</t>
  </si>
  <si>
    <t xml:space="preserve"> - étkeztetési feladatok</t>
  </si>
  <si>
    <t>Szentmártonkátai Aprajafalva Óvoda és Konyha összesen</t>
  </si>
  <si>
    <t>Szabó Magda Nagyközségi Könyvtár és Művelődési Ház</t>
  </si>
  <si>
    <t>Szabó Magda Nagyközségi Könyvtár és Művelődési Ház összesen</t>
  </si>
  <si>
    <t>SZENTMÁRTONKÁTA NAGYKÖZSÉG ÖNKORMÁNYZATA</t>
  </si>
  <si>
    <t>Bevételi előirányzatok</t>
  </si>
  <si>
    <t>2022.</t>
  </si>
  <si>
    <t>2023.</t>
  </si>
  <si>
    <t>2024.</t>
  </si>
  <si>
    <t>Kiadási előirányzatok</t>
  </si>
  <si>
    <t>Munkáltatót terhelő járulékok</t>
  </si>
  <si>
    <t>2025.</t>
  </si>
  <si>
    <t xml:space="preserve">BEVÉTELEK ÉS KIADÁSOK 2022-2025. ÉVI TERVEZETT ELŐIRÁNYZATAI </t>
  </si>
  <si>
    <t>16. melléklet a …............. önkormányzati rendelethez</t>
  </si>
  <si>
    <t>17. melléklet a …............... önkormányzati rendelethez</t>
  </si>
  <si>
    <t xml:space="preserve">AZ ÖNKORMÁNYZAT 2022. ÉVRE VÁRHATÓ KÖZVETETT TÁMOGATÁSAI </t>
  </si>
  <si>
    <t>TÁJÉKOZTATÓ</t>
  </si>
  <si>
    <t>A TÖBBÉVES KIHATÁSSAL JÁRÓ DÖNTÉSEKRŐL</t>
  </si>
  <si>
    <t>Sor-szám</t>
  </si>
  <si>
    <t>Kötelezettségek</t>
  </si>
  <si>
    <t>Elkötelezettség időtartama</t>
  </si>
  <si>
    <t>Helyi tömegközlekedés támogatása</t>
  </si>
  <si>
    <t>2019-2029.</t>
  </si>
  <si>
    <t>Közvilágítási aktív elemek korszerűsítése</t>
  </si>
  <si>
    <t>2017-2026</t>
  </si>
  <si>
    <t>Térfigyelő rendszer karbantartása</t>
  </si>
  <si>
    <t>2019-2022</t>
  </si>
  <si>
    <t>Házi gyermekorvosi tevékenység ellátása</t>
  </si>
  <si>
    <t>2017-határozatlan</t>
  </si>
  <si>
    <t>PM_BOLCSODEFEJLESZTES</t>
  </si>
  <si>
    <t>2020-2023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</si>
  <si>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</si>
  <si>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</si>
  <si>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</si>
  <si>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</si>
  <si>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</si>
  <si>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</si>
  <si>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</si>
  <si>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</si>
  <si>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</si>
  <si>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</si>
  <si>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</si>
  <si>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</si>
  <si>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</t>
  </si>
  <si>
    <t>Bevételek összesen:</t>
  </si>
  <si>
    <t>KIADÁSOK</t>
  </si>
  <si>
    <t>Működési kiadások</t>
  </si>
  <si>
    <t>Felhalmozási kiadások</t>
  </si>
  <si>
    <t>Kiadások összesen:</t>
  </si>
  <si>
    <t>18. melléklet a …............. önkormányzati rendelethez</t>
  </si>
  <si>
    <t>Az önkormányzat adósságot keletkeztető ügyleteiből eredő fizetési kötelezettségeinek bemutatása</t>
  </si>
  <si>
    <t>ADÓSSÁGOT KELETKEZTETŐ ÜGYLETEK</t>
  </si>
  <si>
    <t>Kötelezettség</t>
  </si>
  <si>
    <t>2022. év</t>
  </si>
  <si>
    <t>2023. év</t>
  </si>
  <si>
    <t>2024. év</t>
  </si>
  <si>
    <t>Összesen:</t>
  </si>
  <si>
    <t>SAJÁT BEVÉTELEK</t>
  </si>
  <si>
    <r>
      <t>Helyi adóból és a települési adóból származó bevétel</t>
    </r>
    <r>
      <rPr>
        <sz val="10"/>
        <color indexed="63"/>
        <rFont val="Arial"/>
        <family val="2"/>
      </rPr>
      <t xml:space="preserve"> </t>
    </r>
  </si>
  <si>
    <t>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</si>
  <si>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</si>
  <si>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</si>
  <si>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Bírság, pótlék, díjbevétel</t>
  </si>
  <si>
    <t xml:space="preserve">A kezesség-, illetve a garanciavállalással kapcsolatos megtérülés </t>
  </si>
  <si>
    <t xml:space="preserve">ADÓSSÁGOT KELETKEZTETŐ ÜGYLETEK </t>
  </si>
  <si>
    <t>ÉS SAJÁT BEVÉTELEK ÖSSZEVETÉSE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</si>
  <si>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</si>
  <si>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</si>
  <si>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</si>
  <si>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20. melléklet a ….................... önkormányzati rendelethez</t>
  </si>
  <si>
    <t>Ssz.</t>
  </si>
  <si>
    <t>Projekt</t>
  </si>
  <si>
    <t>Tevékenység</t>
  </si>
  <si>
    <t>Bevételek</t>
  </si>
  <si>
    <t>Kiadások</t>
  </si>
  <si>
    <t>1.</t>
  </si>
  <si>
    <t xml:space="preserve">Külterületi helyi közutak fejlesztése </t>
  </si>
  <si>
    <t>Saját erő</t>
  </si>
  <si>
    <t xml:space="preserve">  -</t>
  </si>
  <si>
    <t>Támogatás</t>
  </si>
  <si>
    <t>Projektek öszesen:</t>
  </si>
  <si>
    <t>21. melléklet a …............ önkormányzati rendelethez</t>
  </si>
  <si>
    <t>Európai Uniós támogatásból finanszírozott projektek bevételeinek - kiadásainak bemutatása  2022.</t>
  </si>
  <si>
    <t>19. melléklet a …...... önkormányzati rendelethez</t>
  </si>
  <si>
    <t>2. melléklet a …………………... önkormányzati rendelethez</t>
  </si>
  <si>
    <t>KÖLTSÉGVETÉSI MÉRLEG</t>
  </si>
  <si>
    <t>SZENTMÁRTONKÁTA NAGYKÖZSÉG ÖNKORMÁNYZATA ÉS INTÉZMÉNYEI</t>
  </si>
  <si>
    <t>47mill. Nyersanyag, 2mill startmunkából</t>
  </si>
  <si>
    <t>Normatíva finanszírozás Óvoda</t>
  </si>
  <si>
    <t>Normatíva finanszírozás Konyha</t>
  </si>
  <si>
    <t>Saját bevétel</t>
  </si>
  <si>
    <t>Önkormányzati finanszírozás</t>
  </si>
  <si>
    <t>Polgármester</t>
  </si>
  <si>
    <r>
      <t xml:space="preserve">  - </t>
    </r>
    <r>
      <rPr>
        <sz val="10"/>
        <color indexed="8"/>
        <rFont val="Times New Roman"/>
        <family val="1"/>
      </rPr>
      <t>könyvtári feladatok</t>
    </r>
  </si>
  <si>
    <t>úthozzájárulás lakosság részséről adók módjára. Törv felülbírálással egyedi határozattal (temető utca feleét a lakosság kifizette)</t>
  </si>
  <si>
    <t>közfogl</t>
  </si>
  <si>
    <t>NEAK</t>
  </si>
  <si>
    <t>mezőgazd mintaprogram</t>
  </si>
  <si>
    <t>lakbér bevétel</t>
  </si>
  <si>
    <t>ravatalozó, lakbérbevétel, közterület használat</t>
  </si>
  <si>
    <t>Házi segítségnyújtás</t>
  </si>
  <si>
    <t>Eredeti előriányzat 2022</t>
  </si>
  <si>
    <t>Magyar Falu program járda felújítás</t>
  </si>
  <si>
    <t>Bölcsöde eszközbeszerzés</t>
  </si>
  <si>
    <t>Árokásó kanál</t>
  </si>
  <si>
    <t>Kamera</t>
  </si>
  <si>
    <t>Óvoda előtető</t>
  </si>
  <si>
    <t xml:space="preserve">074031 - Család és nővédelmi egészségügyi gondozás </t>
  </si>
  <si>
    <t>irodai székek</t>
  </si>
  <si>
    <t>072111 - Háziorvosi alapellátás</t>
  </si>
  <si>
    <t>tisztasági festés</t>
  </si>
  <si>
    <t>70 év felettiek kapnak kedvrzményt</t>
  </si>
  <si>
    <t>Finanszíroási bevételek</t>
  </si>
  <si>
    <t>1. Kommunális adó esetében a mentesség ingatlanra adható, melynek várható összege 506 fő esetén 5.205.111,- Ft</t>
  </si>
  <si>
    <t>2. Az önkormányzat által nyújtott babakelengye támogatás összege várhatóan: 700.000,- Ft</t>
  </si>
  <si>
    <t>Feladat megnevezése</t>
  </si>
  <si>
    <t>Szabad pénzmaradvány</t>
  </si>
  <si>
    <t>Működési célú</t>
  </si>
  <si>
    <t>Felhalmozási célú</t>
  </si>
  <si>
    <t>Pénzmaradvány összesen</t>
  </si>
  <si>
    <t>Feladattal terhelt pénzmaradvány</t>
  </si>
  <si>
    <t>011130 - Önkormányzatok és önkormányzati hivatalok jogalkotó és ált. igazgatási tev.</t>
  </si>
  <si>
    <t>082044 Könyvtári Szolgáltatások</t>
  </si>
  <si>
    <t>091110 Óvodai nevelés, ellátás szakmai feladatai 096015 Gyermekétkeztetés köznevelési intézményben</t>
  </si>
  <si>
    <t>066020 - Város-, községgazdálkodási egyéb szolgáltatások</t>
  </si>
  <si>
    <t>107052 - Házi segítségnyújtás</t>
  </si>
  <si>
    <t>14. melléklet a …...........) önkormányzati rendelethez</t>
  </si>
  <si>
    <t xml:space="preserve">ELŐIRÁNYZAT-FELHASZNÁLÁSI ÜTEMTERV 2022. ÉVRE </t>
  </si>
  <si>
    <t>15. melléklet a …........ önkormányzati rendelethez</t>
  </si>
  <si>
    <t>K1-K8. Költségvetési kiadások összesen</t>
  </si>
  <si>
    <t>B1-B7. költségvetési bevételek összesen</t>
  </si>
  <si>
    <t>1. melléklet a ………….. önkormányzati ren+A1:J16delethez</t>
  </si>
  <si>
    <t>B115</t>
  </si>
  <si>
    <t>Működési célú költségvetési támogatások és kiegészítő támogatások</t>
  </si>
  <si>
    <t>Magyar Falu program több tárgyi eszköz beszerzés</t>
  </si>
  <si>
    <t>Magyar Falu program óvoda tornaterem, játszótér</t>
  </si>
  <si>
    <t>Bölcsőde épület beruházás</t>
  </si>
  <si>
    <t>Normatív finanszírozés Szoc keretből</t>
  </si>
  <si>
    <t>Működési célú tartalék</t>
  </si>
  <si>
    <t>Képviselő testület által elfogadott projektekre jutó önerő</t>
  </si>
  <si>
    <t>tagi kölcsön - testületi döntés a törléséről</t>
  </si>
  <si>
    <t>104042 Család- és gyermekjóléti Szolgálat</t>
  </si>
  <si>
    <t>064010 - Közvilágítás</t>
  </si>
  <si>
    <t>013350 - Bölcsőde</t>
  </si>
  <si>
    <t>013350 - Magyar Falu Program</t>
  </si>
  <si>
    <t>Fizetendő áfa</t>
  </si>
  <si>
    <t>013350 - Projektek önrésze</t>
  </si>
  <si>
    <t xml:space="preserve"> 13 melléklet a .../2022. (...)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</si>
</sst>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Ft&quot;"/>
    <numFmt numFmtId="167" formatCode="#,##0\ _F_t"/>
    <numFmt numFmtId="168" formatCode="#,##0_ ;[Red]\-#,##0\ "/>
    <numFmt numFmtId="169" formatCode="_-* #,##0\ _F_t_-;\-* #,##0\ _F_t_-;_-* &quot;-&quot;??\ _F_t_-;_-@_-"/>
    <numFmt numFmtId="170" formatCode="_-* #,##0\ &quot;Ft&quot;_-;\-* #,##0\ &quot;Ft&quot;_-;_-* &quot;-&quot;??\ &quot;Ft&quot;_-;_-@_-"/>
    <numFmt numFmtId="171" formatCode="0.0000"/>
    <numFmt numFmtId="172" formatCode="0.000"/>
    <numFmt numFmtId="173" formatCode="0.0"/>
    <numFmt numFmtId="174" formatCode="_-* #,##0.0\ &quot;Ft&quot;_-;\-* #,##0.0\ &quot;Ft&quot;_-;_-* &quot;-&quot;??\ &quot;Ft&quot;_-;_-@_-"/>
    <numFmt numFmtId="175" formatCode="#,##0_ ;\-#,##0\ "/>
    <numFmt numFmtId="176" formatCode="[$-40E]yyyy\.\ mmmm\ d\.\,\ dddd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  <numFmt numFmtId="181" formatCode="###\ ###\ ###\ ###\ ##0.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color indexed="63"/>
      <name val="Arial"/>
      <family val="2"/>
    </font>
    <font>
      <sz val="10"/>
      <name val="Arial CE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3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63"/>
      <name val="Times New Roman"/>
      <family val="1"/>
    </font>
    <font>
      <b/>
      <u val="singleAccounting"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1"/>
      <color rgb="FF7030A0"/>
      <name val="Calibri"/>
      <family val="2"/>
    </font>
    <font>
      <sz val="10"/>
      <color rgb="FF474747"/>
      <name val="Times New Roman"/>
      <family val="1"/>
    </font>
    <font>
      <b/>
      <u val="singleAccounting"/>
      <sz val="11"/>
      <color theme="1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/>
      <right style="hair">
        <color indexed="8"/>
      </right>
      <top style="hair">
        <color indexed="8"/>
      </top>
      <bottom/>
    </border>
    <border>
      <left/>
      <right style="hair"/>
      <top style="hair"/>
      <bottom style="hair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/>
      <top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double"/>
    </border>
    <border>
      <left/>
      <right/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8" borderId="7" applyNumberFormat="0" applyFont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>
      <alignment/>
      <protection/>
    </xf>
    <xf numFmtId="0" fontId="66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644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5" fillId="0" borderId="10" xfId="56" applyNumberFormat="1" applyFont="1" applyFill="1" applyBorder="1" applyAlignment="1" quotePrefix="1">
      <alignment horizontal="center" vertical="center"/>
      <protection/>
    </xf>
    <xf numFmtId="0" fontId="5" fillId="0" borderId="10" xfId="56" applyFont="1" applyFill="1" applyBorder="1" applyAlignment="1">
      <alignment vertical="center" wrapText="1"/>
      <protection/>
    </xf>
    <xf numFmtId="0" fontId="5" fillId="0" borderId="10" xfId="56" applyFont="1" applyFill="1" applyBorder="1" applyAlignment="1">
      <alignment horizontal="left" vertical="center"/>
      <protection/>
    </xf>
    <xf numFmtId="3" fontId="5" fillId="0" borderId="10" xfId="56" applyNumberFormat="1" applyFont="1" applyFill="1" applyBorder="1" applyAlignment="1">
      <alignment horizontal="right" vertical="center"/>
      <protection/>
    </xf>
    <xf numFmtId="0" fontId="71" fillId="0" borderId="10" xfId="0" applyFont="1" applyBorder="1" applyAlignment="1">
      <alignment/>
    </xf>
    <xf numFmtId="0" fontId="5" fillId="0" borderId="10" xfId="56" applyFont="1" applyFill="1" applyBorder="1" applyAlignment="1">
      <alignment horizontal="left" vertical="center" wrapText="1"/>
      <protection/>
    </xf>
    <xf numFmtId="3" fontId="6" fillId="0" borderId="10" xfId="58" applyNumberFormat="1" applyFont="1" applyFill="1" applyBorder="1" applyAlignment="1">
      <alignment horizontal="right" vertical="center" wrapText="1"/>
      <protection/>
    </xf>
    <xf numFmtId="0" fontId="71" fillId="0" borderId="10" xfId="0" applyFont="1" applyFill="1" applyBorder="1" applyAlignment="1">
      <alignment/>
    </xf>
    <xf numFmtId="49" fontId="2" fillId="33" borderId="10" xfId="56" applyNumberFormat="1" applyFont="1" applyFill="1" applyBorder="1" applyAlignment="1" quotePrefix="1">
      <alignment horizontal="center" vertical="center"/>
      <protection/>
    </xf>
    <xf numFmtId="0" fontId="2" fillId="33" borderId="10" xfId="56" applyFont="1" applyFill="1" applyBorder="1" applyAlignment="1">
      <alignment horizontal="left" vertical="center" wrapText="1"/>
      <protection/>
    </xf>
    <xf numFmtId="3" fontId="2" fillId="33" borderId="10" xfId="56" applyNumberFormat="1" applyFont="1" applyFill="1" applyBorder="1" applyAlignment="1">
      <alignment horizontal="right" vertical="center"/>
      <protection/>
    </xf>
    <xf numFmtId="3" fontId="71" fillId="33" borderId="10" xfId="0" applyNumberFormat="1" applyFont="1" applyFill="1" applyBorder="1" applyAlignment="1">
      <alignment/>
    </xf>
    <xf numFmtId="0" fontId="71" fillId="33" borderId="10" xfId="0" applyFont="1" applyFill="1" applyBorder="1" applyAlignment="1">
      <alignment/>
    </xf>
    <xf numFmtId="3" fontId="4" fillId="33" borderId="10" xfId="58" applyNumberFormat="1" applyFont="1" applyFill="1" applyBorder="1" applyAlignment="1">
      <alignment horizontal="righ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3" fontId="6" fillId="0" borderId="10" xfId="56" applyNumberFormat="1" applyFont="1" applyFill="1" applyBorder="1" applyAlignment="1">
      <alignment horizontal="right" vertical="center"/>
      <protection/>
    </xf>
    <xf numFmtId="0" fontId="71" fillId="0" borderId="10" xfId="56" applyFont="1" applyFill="1" applyBorder="1" applyAlignment="1">
      <alignment horizontal="left" vertical="center" wrapText="1"/>
      <protection/>
    </xf>
    <xf numFmtId="0" fontId="2" fillId="0" borderId="10" xfId="56" applyFont="1" applyFill="1" applyBorder="1" applyAlignment="1">
      <alignment horizontal="left" vertical="center"/>
      <protection/>
    </xf>
    <xf numFmtId="0" fontId="2" fillId="33" borderId="10" xfId="56" applyFont="1" applyFill="1" applyBorder="1" applyAlignment="1">
      <alignment horizontal="left" vertical="center"/>
      <protection/>
    </xf>
    <xf numFmtId="11" fontId="2" fillId="33" borderId="10" xfId="56" applyNumberFormat="1" applyFont="1" applyFill="1" applyBorder="1" applyAlignment="1">
      <alignment horizontal="left" vertical="center" wrapText="1"/>
      <protection/>
    </xf>
    <xf numFmtId="11" fontId="5" fillId="34" borderId="10" xfId="56" applyNumberFormat="1" applyFont="1" applyFill="1" applyBorder="1" applyAlignment="1">
      <alignment horizontal="left" vertical="center" wrapText="1"/>
      <protection/>
    </xf>
    <xf numFmtId="3" fontId="6" fillId="34" borderId="10" xfId="58" applyNumberFormat="1" applyFont="1" applyFill="1" applyBorder="1" applyAlignment="1">
      <alignment horizontal="right" vertical="center" wrapText="1"/>
      <protection/>
    </xf>
    <xf numFmtId="3" fontId="71" fillId="0" borderId="10" xfId="0" applyNumberFormat="1" applyFont="1" applyBorder="1" applyAlignment="1">
      <alignment/>
    </xf>
    <xf numFmtId="0" fontId="4" fillId="33" borderId="10" xfId="56" applyFont="1" applyFill="1" applyBorder="1" applyAlignment="1">
      <alignment horizontal="left" vertical="center" wrapText="1"/>
      <protection/>
    </xf>
    <xf numFmtId="49" fontId="2" fillId="0" borderId="11" xfId="56" applyNumberFormat="1" applyFont="1" applyFill="1" applyBorder="1" applyAlignment="1">
      <alignment horizontal="center" vertical="center"/>
      <protection/>
    </xf>
    <xf numFmtId="0" fontId="71" fillId="0" borderId="0" xfId="0" applyFont="1" applyAlignment="1">
      <alignment horizontal="right"/>
    </xf>
    <xf numFmtId="0" fontId="72" fillId="0" borderId="0" xfId="0" applyFont="1" applyFill="1" applyAlignment="1">
      <alignment/>
    </xf>
    <xf numFmtId="0" fontId="4" fillId="33" borderId="12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71" fillId="0" borderId="0" xfId="0" applyFont="1" applyFill="1" applyAlignment="1">
      <alignment/>
    </xf>
    <xf numFmtId="3" fontId="71" fillId="0" borderId="0" xfId="0" applyNumberFormat="1" applyFont="1" applyFill="1" applyAlignment="1">
      <alignment/>
    </xf>
    <xf numFmtId="49" fontId="71" fillId="0" borderId="0" xfId="0" applyNumberFormat="1" applyFont="1" applyAlignment="1">
      <alignment/>
    </xf>
    <xf numFmtId="49" fontId="2" fillId="33" borderId="12" xfId="56" applyNumberFormat="1" applyFont="1" applyFill="1" applyBorder="1" applyAlignment="1" quotePrefix="1">
      <alignment horizontal="center" vertical="center"/>
      <protection/>
    </xf>
    <xf numFmtId="0" fontId="4" fillId="33" borderId="13" xfId="56" applyFont="1" applyFill="1" applyBorder="1" applyAlignment="1">
      <alignment horizontal="left" vertical="center" wrapText="1"/>
      <protection/>
    </xf>
    <xf numFmtId="3" fontId="4" fillId="33" borderId="13" xfId="58" applyNumberFormat="1" applyFont="1" applyFill="1" applyBorder="1" applyAlignment="1">
      <alignment horizontal="right" vertical="center" wrapText="1"/>
      <protection/>
    </xf>
    <xf numFmtId="0" fontId="73" fillId="0" borderId="0" xfId="0" applyFont="1" applyAlignment="1">
      <alignment/>
    </xf>
    <xf numFmtId="0" fontId="74" fillId="33" borderId="10" xfId="56" applyFont="1" applyFill="1" applyBorder="1" applyAlignment="1">
      <alignment horizontal="left" vertical="center" wrapText="1"/>
      <protection/>
    </xf>
    <xf numFmtId="49" fontId="2" fillId="0" borderId="10" xfId="56" applyNumberFormat="1" applyFont="1" applyFill="1" applyBorder="1" applyAlignment="1" quotePrefix="1">
      <alignment horizontal="center" vertical="center"/>
      <protection/>
    </xf>
    <xf numFmtId="0" fontId="5" fillId="0" borderId="12" xfId="56" applyFont="1" applyFill="1" applyBorder="1" applyAlignment="1">
      <alignment horizontal="left" vertical="center"/>
      <protection/>
    </xf>
    <xf numFmtId="0" fontId="5" fillId="0" borderId="13" xfId="56" applyFont="1" applyFill="1" applyBorder="1" applyAlignment="1">
      <alignment horizontal="left" vertical="center"/>
      <protection/>
    </xf>
    <xf numFmtId="0" fontId="5" fillId="0" borderId="14" xfId="56" applyFont="1" applyFill="1" applyBorder="1" applyAlignment="1">
      <alignment horizontal="left" vertical="center"/>
      <protection/>
    </xf>
    <xf numFmtId="49" fontId="73" fillId="0" borderId="0" xfId="0" applyNumberFormat="1" applyFont="1" applyAlignment="1">
      <alignment/>
    </xf>
    <xf numFmtId="3" fontId="4" fillId="0" borderId="10" xfId="58" applyNumberFormat="1" applyFont="1" applyFill="1" applyBorder="1" applyAlignment="1">
      <alignment horizontal="right" vertical="center" wrapText="1"/>
      <protection/>
    </xf>
    <xf numFmtId="0" fontId="74" fillId="33" borderId="10" xfId="0" applyFont="1" applyFill="1" applyBorder="1" applyAlignment="1">
      <alignment/>
    </xf>
    <xf numFmtId="3" fontId="71" fillId="0" borderId="10" xfId="0" applyNumberFormat="1" applyFont="1" applyFill="1" applyBorder="1" applyAlignment="1">
      <alignment/>
    </xf>
    <xf numFmtId="0" fontId="71" fillId="33" borderId="13" xfId="0" applyFont="1" applyFill="1" applyBorder="1" applyAlignment="1">
      <alignment/>
    </xf>
    <xf numFmtId="0" fontId="71" fillId="33" borderId="14" xfId="0" applyFont="1" applyFill="1" applyBorder="1" applyAlignment="1">
      <alignment/>
    </xf>
    <xf numFmtId="3" fontId="74" fillId="33" borderId="0" xfId="0" applyNumberFormat="1" applyFont="1" applyFill="1" applyAlignment="1">
      <alignment horizontal="right"/>
    </xf>
    <xf numFmtId="3" fontId="74" fillId="33" borderId="10" xfId="0" applyNumberFormat="1" applyFont="1" applyFill="1" applyBorder="1" applyAlignment="1">
      <alignment horizontal="right"/>
    </xf>
    <xf numFmtId="3" fontId="71" fillId="0" borderId="10" xfId="56" applyNumberFormat="1" applyFont="1" applyFill="1" applyBorder="1" applyAlignment="1">
      <alignment horizontal="right" vertical="center"/>
      <protection/>
    </xf>
    <xf numFmtId="166" fontId="6" fillId="0" borderId="14" xfId="0" applyNumberFormat="1" applyFont="1" applyBorder="1" applyAlignment="1">
      <alignment/>
    </xf>
    <xf numFmtId="166" fontId="71" fillId="0" borderId="10" xfId="0" applyNumberFormat="1" applyFont="1" applyBorder="1" applyAlignment="1">
      <alignment/>
    </xf>
    <xf numFmtId="3" fontId="4" fillId="34" borderId="10" xfId="58" applyNumberFormat="1" applyFont="1" applyFill="1" applyBorder="1" applyAlignment="1">
      <alignment horizontal="right" vertical="center" wrapText="1"/>
      <protection/>
    </xf>
    <xf numFmtId="166" fontId="71" fillId="0" borderId="10" xfId="0" applyNumberFormat="1" applyFont="1" applyBorder="1" applyAlignment="1">
      <alignment horizontal="right" vertical="center"/>
    </xf>
    <xf numFmtId="0" fontId="74" fillId="33" borderId="0" xfId="0" applyFont="1" applyFill="1" applyAlignment="1">
      <alignment/>
    </xf>
    <xf numFmtId="0" fontId="71" fillId="33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3" fontId="4" fillId="33" borderId="10" xfId="58" applyNumberFormat="1" applyFont="1" applyFill="1" applyBorder="1" applyAlignment="1">
      <alignment wrapText="1"/>
      <protection/>
    </xf>
    <xf numFmtId="3" fontId="6" fillId="0" borderId="10" xfId="58" applyNumberFormat="1" applyFont="1" applyFill="1" applyBorder="1" applyAlignment="1">
      <alignment wrapText="1"/>
      <protection/>
    </xf>
    <xf numFmtId="3" fontId="4" fillId="33" borderId="13" xfId="58" applyNumberFormat="1" applyFont="1" applyFill="1" applyBorder="1" applyAlignment="1">
      <alignment wrapText="1"/>
      <protection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0" fontId="2" fillId="33" borderId="10" xfId="56" applyFont="1" applyFill="1" applyBorder="1" applyAlignment="1">
      <alignment horizontal="left" vertical="center"/>
      <protection/>
    </xf>
    <xf numFmtId="3" fontId="4" fillId="35" borderId="10" xfId="58" applyNumberFormat="1" applyFont="1" applyFill="1" applyBorder="1" applyAlignment="1">
      <alignment horizontal="right" vertical="center" wrapText="1"/>
      <protection/>
    </xf>
    <xf numFmtId="49" fontId="2" fillId="35" borderId="10" xfId="56" applyNumberFormat="1" applyFont="1" applyFill="1" applyBorder="1" applyAlignment="1" quotePrefix="1">
      <alignment horizontal="center" vertical="center"/>
      <protection/>
    </xf>
    <xf numFmtId="0" fontId="75" fillId="33" borderId="10" xfId="0" applyFont="1" applyFill="1" applyBorder="1" applyAlignment="1">
      <alignment horizontal="right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3" fontId="5" fillId="0" borderId="12" xfId="56" applyNumberFormat="1" applyFont="1" applyFill="1" applyBorder="1" applyAlignment="1">
      <alignment horizontal="right"/>
      <protection/>
    </xf>
    <xf numFmtId="3" fontId="5" fillId="0" borderId="10" xfId="56" applyNumberFormat="1" applyFont="1" applyFill="1" applyBorder="1" applyAlignment="1">
      <alignment horizontal="right"/>
      <protection/>
    </xf>
    <xf numFmtId="0" fontId="71" fillId="0" borderId="10" xfId="0" applyFont="1" applyBorder="1" applyAlignment="1">
      <alignment/>
    </xf>
    <xf numFmtId="3" fontId="6" fillId="0" borderId="12" xfId="58" applyNumberFormat="1" applyFont="1" applyFill="1" applyBorder="1" applyAlignment="1">
      <alignment horizontal="right" wrapText="1"/>
      <protection/>
    </xf>
    <xf numFmtId="0" fontId="71" fillId="0" borderId="10" xfId="0" applyFont="1" applyFill="1" applyBorder="1" applyAlignment="1">
      <alignment/>
    </xf>
    <xf numFmtId="3" fontId="2" fillId="33" borderId="12" xfId="56" applyNumberFormat="1" applyFont="1" applyFill="1" applyBorder="1" applyAlignment="1">
      <alignment horizontal="right"/>
      <protection/>
    </xf>
    <xf numFmtId="3" fontId="2" fillId="33" borderId="10" xfId="56" applyNumberFormat="1" applyFont="1" applyFill="1" applyBorder="1" applyAlignment="1">
      <alignment horizontal="right"/>
      <protection/>
    </xf>
    <xf numFmtId="3" fontId="4" fillId="33" borderId="12" xfId="56" applyNumberFormat="1" applyFont="1" applyFill="1" applyBorder="1" applyAlignment="1">
      <alignment horizontal="right"/>
      <protection/>
    </xf>
    <xf numFmtId="3" fontId="4" fillId="33" borderId="10" xfId="58" applyNumberFormat="1" applyFont="1" applyFill="1" applyBorder="1" applyAlignment="1">
      <alignment horizontal="right" wrapText="1"/>
      <protection/>
    </xf>
    <xf numFmtId="3" fontId="6" fillId="0" borderId="10" xfId="0" applyNumberFormat="1" applyFont="1" applyBorder="1" applyAlignment="1">
      <alignment horizontal="right"/>
    </xf>
    <xf numFmtId="167" fontId="76" fillId="0" borderId="10" xfId="0" applyNumberFormat="1" applyFont="1" applyBorder="1" applyAlignment="1">
      <alignment horizontal="right"/>
    </xf>
    <xf numFmtId="3" fontId="6" fillId="0" borderId="10" xfId="58" applyNumberFormat="1" applyFont="1" applyFill="1" applyBorder="1" applyAlignment="1">
      <alignment horizontal="right" wrapText="1"/>
      <protection/>
    </xf>
    <xf numFmtId="3" fontId="4" fillId="33" borderId="12" xfId="58" applyNumberFormat="1" applyFont="1" applyFill="1" applyBorder="1" applyAlignment="1">
      <alignment horizontal="right" wrapText="1"/>
      <protection/>
    </xf>
    <xf numFmtId="3" fontId="4" fillId="0" borderId="12" xfId="58" applyNumberFormat="1" applyFont="1" applyFill="1" applyBorder="1" applyAlignment="1">
      <alignment horizontal="right" wrapText="1"/>
      <protection/>
    </xf>
    <xf numFmtId="3" fontId="4" fillId="0" borderId="10" xfId="58" applyNumberFormat="1" applyFont="1" applyFill="1" applyBorder="1" applyAlignment="1">
      <alignment horizontal="right" wrapText="1"/>
      <protection/>
    </xf>
    <xf numFmtId="0" fontId="0" fillId="0" borderId="10" xfId="0" applyBorder="1" applyAlignment="1">
      <alignment/>
    </xf>
    <xf numFmtId="3" fontId="71" fillId="0" borderId="10" xfId="0" applyNumberFormat="1" applyFont="1" applyBorder="1" applyAlignment="1">
      <alignment/>
    </xf>
    <xf numFmtId="0" fontId="71" fillId="33" borderId="10" xfId="0" applyFont="1" applyFill="1" applyBorder="1" applyAlignment="1">
      <alignment/>
    </xf>
    <xf numFmtId="3" fontId="4" fillId="35" borderId="10" xfId="0" applyNumberFormat="1" applyFont="1" applyFill="1" applyBorder="1" applyAlignment="1">
      <alignment horizontal="right"/>
    </xf>
    <xf numFmtId="3" fontId="6" fillId="35" borderId="10" xfId="0" applyNumberFormat="1" applyFont="1" applyFill="1" applyBorder="1" applyAlignment="1">
      <alignment horizontal="right"/>
    </xf>
    <xf numFmtId="0" fontId="72" fillId="0" borderId="0" xfId="0" applyFont="1" applyFill="1" applyAlignment="1">
      <alignment/>
    </xf>
    <xf numFmtId="0" fontId="4" fillId="33" borderId="12" xfId="56" applyFont="1" applyFill="1" applyBorder="1" applyAlignment="1">
      <alignment horizontal="center" wrapText="1"/>
      <protection/>
    </xf>
    <xf numFmtId="0" fontId="4" fillId="33" borderId="10" xfId="56" applyFont="1" applyFill="1" applyBorder="1" applyAlignment="1">
      <alignment horizontal="center" wrapText="1"/>
      <protection/>
    </xf>
    <xf numFmtId="0" fontId="71" fillId="0" borderId="0" xfId="0" applyFont="1" applyFill="1" applyAlignment="1">
      <alignment/>
    </xf>
    <xf numFmtId="3" fontId="4" fillId="33" borderId="13" xfId="58" applyNumberFormat="1" applyFont="1" applyFill="1" applyBorder="1" applyAlignment="1">
      <alignment horizontal="right" wrapText="1"/>
      <protection/>
    </xf>
    <xf numFmtId="168" fontId="6" fillId="0" borderId="0" xfId="0" applyNumberFormat="1" applyFont="1" applyAlignment="1" applyProtection="1">
      <alignment/>
      <protection locked="0"/>
    </xf>
    <xf numFmtId="169" fontId="6" fillId="0" borderId="0" xfId="46" applyNumberFormat="1" applyFont="1" applyAlignment="1" applyProtection="1">
      <alignment/>
      <protection locked="0"/>
    </xf>
    <xf numFmtId="0" fontId="71" fillId="0" borderId="15" xfId="0" applyFont="1" applyBorder="1" applyAlignment="1">
      <alignment vertical="center" wrapText="1"/>
    </xf>
    <xf numFmtId="169" fontId="71" fillId="0" borderId="16" xfId="46" applyNumberFormat="1" applyFont="1" applyBorder="1" applyAlignment="1">
      <alignment vertical="center" wrapText="1"/>
    </xf>
    <xf numFmtId="0" fontId="71" fillId="0" borderId="17" xfId="0" applyFont="1" applyBorder="1" applyAlignment="1">
      <alignment vertical="center" wrapText="1"/>
    </xf>
    <xf numFmtId="0" fontId="71" fillId="0" borderId="18" xfId="0" applyFont="1" applyBorder="1" applyAlignment="1">
      <alignment vertical="center" wrapText="1"/>
    </xf>
    <xf numFmtId="169" fontId="71" fillId="0" borderId="19" xfId="46" applyNumberFormat="1" applyFont="1" applyBorder="1" applyAlignment="1">
      <alignment vertical="center" wrapText="1"/>
    </xf>
    <xf numFmtId="169" fontId="71" fillId="0" borderId="20" xfId="46" applyNumberFormat="1" applyFont="1" applyBorder="1" applyAlignment="1">
      <alignment vertical="center" wrapText="1"/>
    </xf>
    <xf numFmtId="0" fontId="74" fillId="36" borderId="21" xfId="0" applyFont="1" applyFill="1" applyBorder="1" applyAlignment="1">
      <alignment vertical="center" wrapText="1"/>
    </xf>
    <xf numFmtId="169" fontId="74" fillId="36" borderId="22" xfId="46" applyNumberFormat="1" applyFont="1" applyFill="1" applyBorder="1" applyAlignment="1">
      <alignment vertical="center" wrapText="1"/>
    </xf>
    <xf numFmtId="0" fontId="74" fillId="0" borderId="21" xfId="0" applyFont="1" applyBorder="1" applyAlignment="1">
      <alignment horizontal="center" vertical="center" wrapText="1"/>
    </xf>
    <xf numFmtId="169" fontId="74" fillId="0" borderId="22" xfId="46" applyNumberFormat="1" applyFont="1" applyBorder="1" applyAlignment="1">
      <alignment horizontal="center" vertical="center" wrapText="1"/>
    </xf>
    <xf numFmtId="168" fontId="6" fillId="0" borderId="0" xfId="0" applyNumberFormat="1" applyFont="1" applyAlignment="1" applyProtection="1">
      <alignment horizontal="right"/>
      <protection locked="0"/>
    </xf>
    <xf numFmtId="168" fontId="6" fillId="0" borderId="0" xfId="0" applyNumberFormat="1" applyFont="1" applyAlignment="1" applyProtection="1">
      <alignment horizontal="right" wrapText="1"/>
      <protection locked="0"/>
    </xf>
    <xf numFmtId="169" fontId="6" fillId="0" borderId="0" xfId="46" applyNumberFormat="1" applyFont="1" applyAlignment="1" applyProtection="1">
      <alignment horizontal="right"/>
      <protection locked="0"/>
    </xf>
    <xf numFmtId="169" fontId="4" fillId="0" borderId="23" xfId="46" applyNumberFormat="1" applyFont="1" applyBorder="1" applyAlignment="1">
      <alignment horizontal="right" vertical="center" wrapText="1"/>
    </xf>
    <xf numFmtId="169" fontId="4" fillId="0" borderId="24" xfId="46" applyNumberFormat="1" applyFont="1" applyBorder="1" applyAlignment="1">
      <alignment horizontal="right" vertical="center" wrapText="1"/>
    </xf>
    <xf numFmtId="169" fontId="4" fillId="0" borderId="25" xfId="46" applyNumberFormat="1" applyFont="1" applyBorder="1" applyAlignment="1">
      <alignment horizontal="right" vertical="center" wrapText="1"/>
    </xf>
    <xf numFmtId="169" fontId="6" fillId="0" borderId="26" xfId="46" applyNumberFormat="1" applyFont="1" applyBorder="1" applyAlignment="1">
      <alignment horizontal="right" vertical="center" wrapText="1"/>
    </xf>
    <xf numFmtId="169" fontId="6" fillId="0" borderId="27" xfId="46" applyNumberFormat="1" applyFont="1" applyBorder="1" applyAlignment="1">
      <alignment horizontal="right" vertical="center" wrapText="1"/>
    </xf>
    <xf numFmtId="169" fontId="6" fillId="0" borderId="28" xfId="46" applyNumberFormat="1" applyFont="1" applyBorder="1" applyAlignment="1">
      <alignment horizontal="right" vertical="center" wrapText="1"/>
    </xf>
    <xf numFmtId="169" fontId="6" fillId="0" borderId="29" xfId="46" applyNumberFormat="1" applyFont="1" applyBorder="1" applyAlignment="1">
      <alignment horizontal="right" vertical="center" wrapText="1"/>
    </xf>
    <xf numFmtId="169" fontId="6" fillId="0" borderId="10" xfId="46" applyNumberFormat="1" applyFont="1" applyBorder="1" applyAlignment="1">
      <alignment horizontal="right" vertical="center" wrapText="1"/>
    </xf>
    <xf numFmtId="169" fontId="6" fillId="0" borderId="30" xfId="46" applyNumberFormat="1" applyFont="1" applyBorder="1" applyAlignment="1">
      <alignment horizontal="right" vertical="center" wrapText="1"/>
    </xf>
    <xf numFmtId="169" fontId="6" fillId="0" borderId="31" xfId="46" applyNumberFormat="1" applyFont="1" applyBorder="1" applyAlignment="1">
      <alignment horizontal="right" vertical="center" wrapText="1"/>
    </xf>
    <xf numFmtId="169" fontId="6" fillId="0" borderId="32" xfId="46" applyNumberFormat="1" applyFont="1" applyBorder="1" applyAlignment="1">
      <alignment horizontal="right" vertical="center" wrapText="1"/>
    </xf>
    <xf numFmtId="169" fontId="6" fillId="0" borderId="33" xfId="46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41" fontId="4" fillId="0" borderId="10" xfId="0" applyNumberFormat="1" applyFont="1" applyBorder="1" applyAlignment="1">
      <alignment horizontal="center"/>
    </xf>
    <xf numFmtId="41" fontId="4" fillId="0" borderId="10" xfId="0" applyNumberFormat="1" applyFont="1" applyBorder="1" applyAlignment="1">
      <alignment horizontal="center" wrapText="1"/>
    </xf>
    <xf numFmtId="41" fontId="14" fillId="0" borderId="31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71" fillId="0" borderId="10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0" fontId="77" fillId="0" borderId="0" xfId="0" applyFont="1" applyAlignment="1">
      <alignment/>
    </xf>
    <xf numFmtId="0" fontId="6" fillId="0" borderId="0" xfId="0" applyFont="1" applyAlignment="1">
      <alignment/>
    </xf>
    <xf numFmtId="41" fontId="6" fillId="36" borderId="10" xfId="0" applyNumberFormat="1" applyFont="1" applyFill="1" applyBorder="1" applyAlignment="1">
      <alignment/>
    </xf>
    <xf numFmtId="41" fontId="4" fillId="36" borderId="10" xfId="0" applyNumberFormat="1" applyFont="1" applyFill="1" applyBorder="1" applyAlignment="1">
      <alignment/>
    </xf>
    <xf numFmtId="41" fontId="6" fillId="0" borderId="0" xfId="0" applyNumberFormat="1" applyFont="1" applyAlignment="1">
      <alignment/>
    </xf>
    <xf numFmtId="41" fontId="6" fillId="0" borderId="10" xfId="0" applyNumberFormat="1" applyFont="1" applyBorder="1" applyAlignment="1">
      <alignment horizontal="right" vertical="top" wrapText="1"/>
    </xf>
    <xf numFmtId="41" fontId="4" fillId="0" borderId="10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41" fontId="4" fillId="37" borderId="10" xfId="0" applyNumberFormat="1" applyFont="1" applyFill="1" applyBorder="1" applyAlignment="1">
      <alignment/>
    </xf>
    <xf numFmtId="41" fontId="4" fillId="37" borderId="26" xfId="0" applyNumberFormat="1" applyFont="1" applyFill="1" applyBorder="1" applyAlignment="1">
      <alignment/>
    </xf>
    <xf numFmtId="41" fontId="4" fillId="0" borderId="0" xfId="0" applyNumberFormat="1" applyFont="1" applyAlignment="1">
      <alignment/>
    </xf>
    <xf numFmtId="43" fontId="6" fillId="0" borderId="0" xfId="46" applyFont="1" applyAlignment="1" applyProtection="1">
      <alignment/>
      <protection locked="0"/>
    </xf>
    <xf numFmtId="43" fontId="6" fillId="0" borderId="0" xfId="46" applyFont="1" applyAlignment="1" applyProtection="1">
      <alignment wrapText="1"/>
      <protection locked="0"/>
    </xf>
    <xf numFmtId="43" fontId="74" fillId="0" borderId="34" xfId="46" applyFont="1" applyBorder="1" applyAlignment="1">
      <alignment horizontal="center" vertical="center" wrapText="1"/>
    </xf>
    <xf numFmtId="43" fontId="74" fillId="0" borderId="35" xfId="46" applyFont="1" applyBorder="1" applyAlignment="1">
      <alignment horizontal="center" vertical="center" wrapText="1"/>
    </xf>
    <xf numFmtId="43" fontId="74" fillId="36" borderId="35" xfId="46" applyFont="1" applyFill="1" applyBorder="1" applyAlignment="1">
      <alignment horizontal="center" vertical="center" wrapText="1"/>
    </xf>
    <xf numFmtId="43" fontId="74" fillId="33" borderId="35" xfId="46" applyFont="1" applyFill="1" applyBorder="1" applyAlignment="1">
      <alignment horizontal="center" vertical="center" wrapText="1"/>
    </xf>
    <xf numFmtId="0" fontId="71" fillId="0" borderId="36" xfId="0" applyFont="1" applyBorder="1" applyAlignment="1">
      <alignment vertical="center" wrapText="1"/>
    </xf>
    <xf numFmtId="43" fontId="71" fillId="0" borderId="28" xfId="46" applyFont="1" applyBorder="1" applyAlignment="1">
      <alignment vertical="center" wrapText="1"/>
    </xf>
    <xf numFmtId="43" fontId="71" fillId="0" borderId="16" xfId="46" applyFont="1" applyBorder="1" applyAlignment="1">
      <alignment vertical="center" wrapText="1"/>
    </xf>
    <xf numFmtId="43" fontId="71" fillId="36" borderId="16" xfId="46" applyFont="1" applyFill="1" applyBorder="1" applyAlignment="1">
      <alignment vertical="center" wrapText="1"/>
    </xf>
    <xf numFmtId="43" fontId="71" fillId="33" borderId="16" xfId="46" applyFont="1" applyFill="1" applyBorder="1" applyAlignment="1">
      <alignment vertical="center" wrapText="1"/>
    </xf>
    <xf numFmtId="0" fontId="78" fillId="0" borderId="36" xfId="0" applyFont="1" applyBorder="1" applyAlignment="1">
      <alignment vertical="center" wrapText="1"/>
    </xf>
    <xf numFmtId="43" fontId="78" fillId="0" borderId="28" xfId="46" applyFont="1" applyBorder="1" applyAlignment="1">
      <alignment vertical="center" wrapText="1"/>
    </xf>
    <xf numFmtId="43" fontId="78" fillId="0" borderId="16" xfId="46" applyFont="1" applyBorder="1" applyAlignment="1">
      <alignment vertical="center" wrapText="1"/>
    </xf>
    <xf numFmtId="43" fontId="78" fillId="36" borderId="16" xfId="46" applyFont="1" applyFill="1" applyBorder="1" applyAlignment="1">
      <alignment vertical="center" wrapText="1"/>
    </xf>
    <xf numFmtId="43" fontId="78" fillId="33" borderId="16" xfId="46" applyFont="1" applyFill="1" applyBorder="1" applyAlignment="1">
      <alignment vertical="center" wrapText="1"/>
    </xf>
    <xf numFmtId="0" fontId="71" fillId="0" borderId="37" xfId="0" applyFont="1" applyBorder="1" applyAlignment="1">
      <alignment vertical="center" wrapText="1"/>
    </xf>
    <xf numFmtId="43" fontId="71" fillId="0" borderId="29" xfId="46" applyFont="1" applyBorder="1" applyAlignment="1">
      <alignment vertical="center" wrapText="1"/>
    </xf>
    <xf numFmtId="43" fontId="71" fillId="0" borderId="38" xfId="46" applyFont="1" applyBorder="1" applyAlignment="1">
      <alignment vertical="center" wrapText="1"/>
    </xf>
    <xf numFmtId="43" fontId="71" fillId="36" borderId="38" xfId="46" applyFont="1" applyFill="1" applyBorder="1" applyAlignment="1">
      <alignment vertical="center" wrapText="1"/>
    </xf>
    <xf numFmtId="0" fontId="71" fillId="0" borderId="36" xfId="0" applyFont="1" applyBorder="1" applyAlignment="1">
      <alignment vertical="center"/>
    </xf>
    <xf numFmtId="0" fontId="74" fillId="36" borderId="39" xfId="0" applyFont="1" applyFill="1" applyBorder="1" applyAlignment="1">
      <alignment vertical="center" wrapText="1"/>
    </xf>
    <xf numFmtId="43" fontId="74" fillId="36" borderId="40" xfId="46" applyFont="1" applyFill="1" applyBorder="1" applyAlignment="1">
      <alignment vertical="center" wrapText="1"/>
    </xf>
    <xf numFmtId="43" fontId="74" fillId="36" borderId="22" xfId="46" applyFont="1" applyFill="1" applyBorder="1" applyAlignment="1">
      <alignment vertical="center" wrapText="1"/>
    </xf>
    <xf numFmtId="43" fontId="74" fillId="33" borderId="22" xfId="46" applyFont="1" applyFill="1" applyBorder="1" applyAlignment="1">
      <alignment vertical="center" wrapText="1"/>
    </xf>
    <xf numFmtId="41" fontId="14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3" fillId="37" borderId="41" xfId="0" applyFont="1" applyFill="1" applyBorder="1" applyAlignment="1">
      <alignment/>
    </xf>
    <xf numFmtId="41" fontId="13" fillId="37" borderId="41" xfId="0" applyNumberFormat="1" applyFont="1" applyFill="1" applyBorder="1" applyAlignment="1">
      <alignment horizontal="center"/>
    </xf>
    <xf numFmtId="41" fontId="13" fillId="37" borderId="42" xfId="0" applyNumberFormat="1" applyFont="1" applyFill="1" applyBorder="1" applyAlignment="1">
      <alignment horizontal="center"/>
    </xf>
    <xf numFmtId="41" fontId="13" fillId="37" borderId="10" xfId="0" applyNumberFormat="1" applyFont="1" applyFill="1" applyBorder="1" applyAlignment="1">
      <alignment horizontal="center"/>
    </xf>
    <xf numFmtId="41" fontId="6" fillId="0" borderId="41" xfId="0" applyNumberFormat="1" applyFont="1" applyBorder="1" applyAlignment="1">
      <alignment/>
    </xf>
    <xf numFmtId="41" fontId="6" fillId="0" borderId="42" xfId="0" applyNumberFormat="1" applyFont="1" applyBorder="1" applyAlignment="1">
      <alignment/>
    </xf>
    <xf numFmtId="41" fontId="6" fillId="37" borderId="41" xfId="0" applyNumberFormat="1" applyFont="1" applyFill="1" applyBorder="1" applyAlignment="1">
      <alignment/>
    </xf>
    <xf numFmtId="41" fontId="4" fillId="37" borderId="41" xfId="0" applyNumberFormat="1" applyFont="1" applyFill="1" applyBorder="1" applyAlignment="1">
      <alignment/>
    </xf>
    <xf numFmtId="0" fontId="6" fillId="0" borderId="41" xfId="0" applyFont="1" applyBorder="1" applyAlignment="1">
      <alignment/>
    </xf>
    <xf numFmtId="0" fontId="4" fillId="37" borderId="41" xfId="0" applyFont="1" applyFill="1" applyBorder="1" applyAlignment="1">
      <alignment/>
    </xf>
    <xf numFmtId="41" fontId="4" fillId="0" borderId="41" xfId="0" applyNumberFormat="1" applyFont="1" applyBorder="1" applyAlignment="1">
      <alignment/>
    </xf>
    <xf numFmtId="41" fontId="4" fillId="0" borderId="42" xfId="0" applyNumberFormat="1" applyFont="1" applyBorder="1" applyAlignment="1">
      <alignment/>
    </xf>
    <xf numFmtId="0" fontId="4" fillId="38" borderId="41" xfId="0" applyFont="1" applyFill="1" applyBorder="1" applyAlignment="1">
      <alignment/>
    </xf>
    <xf numFmtId="41" fontId="4" fillId="38" borderId="41" xfId="0" applyNumberFormat="1" applyFont="1" applyFill="1" applyBorder="1" applyAlignment="1">
      <alignment/>
    </xf>
    <xf numFmtId="41" fontId="4" fillId="38" borderId="42" xfId="0" applyNumberFormat="1" applyFont="1" applyFill="1" applyBorder="1" applyAlignment="1">
      <alignment/>
    </xf>
    <xf numFmtId="41" fontId="4" fillId="38" borderId="10" xfId="0" applyNumberFormat="1" applyFont="1" applyFill="1" applyBorder="1" applyAlignment="1">
      <alignment/>
    </xf>
    <xf numFmtId="0" fontId="6" fillId="0" borderId="26" xfId="0" applyFont="1" applyBorder="1" applyAlignment="1">
      <alignment/>
    </xf>
    <xf numFmtId="41" fontId="6" fillId="0" borderId="26" xfId="0" applyNumberFormat="1" applyFont="1" applyBorder="1" applyAlignment="1">
      <alignment/>
    </xf>
    <xf numFmtId="0" fontId="6" fillId="0" borderId="10" xfId="0" applyFont="1" applyBorder="1" applyAlignment="1">
      <alignment/>
    </xf>
    <xf numFmtId="41" fontId="6" fillId="37" borderId="10" xfId="0" applyNumberFormat="1" applyFont="1" applyFill="1" applyBorder="1" applyAlignment="1">
      <alignment/>
    </xf>
    <xf numFmtId="0" fontId="6" fillId="37" borderId="10" xfId="0" applyFont="1" applyFill="1" applyBorder="1" applyAlignment="1">
      <alignment/>
    </xf>
    <xf numFmtId="41" fontId="4" fillId="37" borderId="10" xfId="0" applyNumberFormat="1" applyFont="1" applyFill="1" applyBorder="1" applyAlignment="1">
      <alignment/>
    </xf>
    <xf numFmtId="41" fontId="4" fillId="37" borderId="12" xfId="0" applyNumberFormat="1" applyFont="1" applyFill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1" fontId="6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41" fontId="4" fillId="0" borderId="12" xfId="0" applyNumberFormat="1" applyFont="1" applyBorder="1" applyAlignment="1">
      <alignment/>
    </xf>
    <xf numFmtId="41" fontId="4" fillId="38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/>
    </xf>
    <xf numFmtId="41" fontId="13" fillId="39" borderId="4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75" fillId="0" borderId="0" xfId="0" applyFont="1" applyAlignment="1">
      <alignment/>
    </xf>
    <xf numFmtId="0" fontId="79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/>
    </xf>
    <xf numFmtId="0" fontId="71" fillId="0" borderId="10" xfId="0" applyFont="1" applyBorder="1" applyAlignment="1">
      <alignment vertical="center"/>
    </xf>
    <xf numFmtId="42" fontId="71" fillId="0" borderId="10" xfId="0" applyNumberFormat="1" applyFont="1" applyBorder="1" applyAlignment="1">
      <alignment/>
    </xf>
    <xf numFmtId="42" fontId="71" fillId="0" borderId="1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6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right" vertical="center"/>
    </xf>
    <xf numFmtId="41" fontId="6" fillId="0" borderId="44" xfId="0" applyNumberFormat="1" applyFont="1" applyBorder="1" applyAlignment="1">
      <alignment wrapText="1"/>
    </xf>
    <xf numFmtId="41" fontId="6" fillId="0" borderId="45" xfId="0" applyNumberFormat="1" applyFont="1" applyBorder="1" applyAlignment="1">
      <alignment horizontal="center" vertical="center"/>
    </xf>
    <xf numFmtId="41" fontId="4" fillId="0" borderId="43" xfId="0" applyNumberFormat="1" applyFont="1" applyBorder="1" applyAlignment="1">
      <alignment horizontal="right" vertical="center"/>
    </xf>
    <xf numFmtId="41" fontId="6" fillId="0" borderId="44" xfId="0" applyNumberFormat="1" applyFont="1" applyBorder="1" applyAlignment="1">
      <alignment vertical="center"/>
    </xf>
    <xf numFmtId="41" fontId="71" fillId="34" borderId="46" xfId="0" applyNumberFormat="1" applyFont="1" applyFill="1" applyBorder="1" applyAlignment="1">
      <alignment horizontal="center" vertical="center"/>
    </xf>
    <xf numFmtId="41" fontId="71" fillId="34" borderId="44" xfId="0" applyNumberFormat="1" applyFont="1" applyFill="1" applyBorder="1" applyAlignment="1">
      <alignment horizontal="center" vertical="center"/>
    </xf>
    <xf numFmtId="41" fontId="4" fillId="0" borderId="47" xfId="0" applyNumberFormat="1" applyFont="1" applyBorder="1" applyAlignment="1">
      <alignment horizontal="right" vertical="center"/>
    </xf>
    <xf numFmtId="41" fontId="71" fillId="0" borderId="0" xfId="0" applyNumberFormat="1" applyFont="1" applyAlignment="1">
      <alignment horizontal="center" vertical="center"/>
    </xf>
    <xf numFmtId="41" fontId="6" fillId="0" borderId="44" xfId="0" applyNumberFormat="1" applyFont="1" applyBorder="1" applyAlignment="1">
      <alignment vertical="center" wrapText="1"/>
    </xf>
    <xf numFmtId="41" fontId="6" fillId="0" borderId="47" xfId="0" applyNumberFormat="1" applyFont="1" applyBorder="1" applyAlignment="1">
      <alignment horizontal="center" vertical="center"/>
    </xf>
    <xf numFmtId="41" fontId="6" fillId="0" borderId="43" xfId="0" applyNumberFormat="1" applyFont="1" applyBorder="1" applyAlignment="1">
      <alignment horizontal="center" vertical="center"/>
    </xf>
    <xf numFmtId="41" fontId="6" fillId="0" borderId="44" xfId="0" applyNumberFormat="1" applyFont="1" applyBorder="1" applyAlignment="1">
      <alignment/>
    </xf>
    <xf numFmtId="41" fontId="4" fillId="0" borderId="43" xfId="0" applyNumberFormat="1" applyFont="1" applyBorder="1" applyAlignment="1">
      <alignment vertical="center"/>
    </xf>
    <xf numFmtId="41" fontId="4" fillId="0" borderId="43" xfId="0" applyNumberFormat="1" applyFont="1" applyBorder="1" applyAlignment="1">
      <alignment horizontal="center" vertical="center"/>
    </xf>
    <xf numFmtId="41" fontId="6" fillId="0" borderId="43" xfId="0" applyNumberFormat="1" applyFont="1" applyBorder="1" applyAlignment="1">
      <alignment vertical="center"/>
    </xf>
    <xf numFmtId="44" fontId="12" fillId="0" borderId="0" xfId="0" applyNumberFormat="1" applyFont="1" applyAlignment="1">
      <alignment/>
    </xf>
    <xf numFmtId="44" fontId="16" fillId="0" borderId="0" xfId="0" applyNumberFormat="1" applyFont="1" applyAlignment="1">
      <alignment horizontal="right"/>
    </xf>
    <xf numFmtId="41" fontId="0" fillId="0" borderId="0" xfId="0" applyNumberFormat="1" applyAlignment="1">
      <alignment/>
    </xf>
    <xf numFmtId="41" fontId="76" fillId="0" borderId="43" xfId="0" applyNumberFormat="1" applyFont="1" applyBorder="1" applyAlignment="1">
      <alignment horizontal="center" vertical="center"/>
    </xf>
    <xf numFmtId="0" fontId="77" fillId="0" borderId="0" xfId="0" applyFont="1" applyAlignment="1">
      <alignment horizontal="justify" vertical="center"/>
    </xf>
    <xf numFmtId="0" fontId="8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81" fillId="0" borderId="0" xfId="0" applyFont="1" applyAlignment="1">
      <alignment/>
    </xf>
    <xf numFmtId="0" fontId="71" fillId="0" borderId="48" xfId="0" applyFont="1" applyBorder="1" applyAlignment="1">
      <alignment horizontal="justify" vertical="center" wrapText="1"/>
    </xf>
    <xf numFmtId="0" fontId="74" fillId="0" borderId="48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37" fontId="71" fillId="0" borderId="48" xfId="0" applyNumberFormat="1" applyFont="1" applyBorder="1" applyAlignment="1">
      <alignment horizontal="center" vertical="center" wrapText="1"/>
    </xf>
    <xf numFmtId="0" fontId="71" fillId="0" borderId="48" xfId="0" applyFont="1" applyBorder="1" applyAlignment="1">
      <alignment vertical="center" wrapText="1"/>
    </xf>
    <xf numFmtId="0" fontId="74" fillId="0" borderId="49" xfId="0" applyFont="1" applyBorder="1" applyAlignment="1">
      <alignment vertical="center" wrapText="1"/>
    </xf>
    <xf numFmtId="0" fontId="74" fillId="0" borderId="50" xfId="0" applyFont="1" applyBorder="1" applyAlignment="1">
      <alignment vertical="center" wrapText="1"/>
    </xf>
    <xf numFmtId="0" fontId="74" fillId="0" borderId="51" xfId="0" applyFont="1" applyBorder="1" applyAlignment="1">
      <alignment vertical="center" wrapText="1"/>
    </xf>
    <xf numFmtId="0" fontId="81" fillId="0" borderId="0" xfId="0" applyFont="1" applyAlignment="1">
      <alignment vertical="center"/>
    </xf>
    <xf numFmtId="167" fontId="71" fillId="0" borderId="48" xfId="0" applyNumberFormat="1" applyFont="1" applyBorder="1" applyAlignment="1">
      <alignment horizontal="center" vertical="center" wrapText="1"/>
    </xf>
    <xf numFmtId="0" fontId="19" fillId="0" borderId="0" xfId="59" applyFont="1" applyAlignment="1">
      <alignment vertical="center"/>
      <protection/>
    </xf>
    <xf numFmtId="0" fontId="14" fillId="0" borderId="0" xfId="0" applyFont="1" applyAlignment="1">
      <alignment/>
    </xf>
    <xf numFmtId="0" fontId="13" fillId="0" borderId="0" xfId="59" applyFont="1" applyAlignment="1">
      <alignment vertical="center"/>
      <protection/>
    </xf>
    <xf numFmtId="0" fontId="4" fillId="0" borderId="52" xfId="59" applyFont="1" applyBorder="1" applyAlignment="1">
      <alignment horizontal="center" vertical="center" wrapText="1"/>
      <protection/>
    </xf>
    <xf numFmtId="0" fontId="4" fillId="0" borderId="53" xfId="59" applyFont="1" applyBorder="1" applyAlignment="1">
      <alignment horizontal="center" vertical="center" wrapText="1"/>
      <protection/>
    </xf>
    <xf numFmtId="0" fontId="4" fillId="0" borderId="54" xfId="59" applyFont="1" applyBorder="1" applyAlignment="1">
      <alignment horizontal="center" vertical="center" wrapText="1"/>
      <protection/>
    </xf>
    <xf numFmtId="0" fontId="4" fillId="0" borderId="41" xfId="59" applyFont="1" applyBorder="1" applyAlignment="1">
      <alignment horizontal="center" vertical="center" wrapText="1"/>
      <protection/>
    </xf>
    <xf numFmtId="0" fontId="6" fillId="0" borderId="41" xfId="59" applyFont="1" applyBorder="1" applyAlignment="1">
      <alignment horizontal="left" vertical="center" indent="2"/>
      <protection/>
    </xf>
    <xf numFmtId="0" fontId="4" fillId="0" borderId="55" xfId="0" applyFont="1" applyBorder="1" applyAlignment="1">
      <alignment horizontal="center" vertical="center"/>
    </xf>
    <xf numFmtId="166" fontId="71" fillId="0" borderId="0" xfId="0" applyNumberFormat="1" applyFont="1" applyAlignment="1">
      <alignment/>
    </xf>
    <xf numFmtId="166" fontId="7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71" fillId="0" borderId="0" xfId="0" applyNumberFormat="1" applyFont="1" applyFill="1" applyAlignment="1">
      <alignment/>
    </xf>
    <xf numFmtId="49" fontId="5" fillId="34" borderId="10" xfId="56" applyNumberFormat="1" applyFont="1" applyFill="1" applyBorder="1" applyAlignment="1" quotePrefix="1">
      <alignment horizontal="center" vertical="center"/>
      <protection/>
    </xf>
    <xf numFmtId="0" fontId="5" fillId="34" borderId="10" xfId="56" applyFont="1" applyFill="1" applyBorder="1" applyAlignment="1">
      <alignment horizontal="left" vertical="center"/>
      <protection/>
    </xf>
    <xf numFmtId="166" fontId="72" fillId="0" borderId="0" xfId="0" applyNumberFormat="1" applyFont="1" applyFill="1" applyAlignment="1">
      <alignment/>
    </xf>
    <xf numFmtId="166" fontId="71" fillId="0" borderId="0" xfId="0" applyNumberFormat="1" applyFont="1" applyAlignment="1">
      <alignment horizontal="right"/>
    </xf>
    <xf numFmtId="3" fontId="71" fillId="0" borderId="0" xfId="0" applyNumberFormat="1" applyFont="1" applyAlignment="1">
      <alignment horizontal="right"/>
    </xf>
    <xf numFmtId="166" fontId="74" fillId="0" borderId="0" xfId="0" applyNumberFormat="1" applyFont="1" applyAlignment="1">
      <alignment horizontal="right"/>
    </xf>
    <xf numFmtId="166" fontId="74" fillId="0" borderId="0" xfId="0" applyNumberFormat="1" applyFont="1" applyAlignment="1">
      <alignment/>
    </xf>
    <xf numFmtId="0" fontId="78" fillId="0" borderId="36" xfId="0" applyFont="1" applyFill="1" applyBorder="1" applyAlignment="1">
      <alignment vertical="center" wrapText="1"/>
    </xf>
    <xf numFmtId="0" fontId="71" fillId="0" borderId="36" xfId="0" applyFont="1" applyFill="1" applyBorder="1" applyAlignment="1">
      <alignment vertical="center" wrapText="1"/>
    </xf>
    <xf numFmtId="0" fontId="0" fillId="0" borderId="0" xfId="0" applyAlignment="1">
      <alignment/>
    </xf>
    <xf numFmtId="3" fontId="74" fillId="33" borderId="10" xfId="0" applyNumberFormat="1" applyFont="1" applyFill="1" applyBorder="1" applyAlignment="1">
      <alignment/>
    </xf>
    <xf numFmtId="3" fontId="71" fillId="0" borderId="0" xfId="0" applyNumberFormat="1" applyFont="1" applyAlignment="1">
      <alignment/>
    </xf>
    <xf numFmtId="0" fontId="0" fillId="0" borderId="0" xfId="0" applyAlignment="1">
      <alignment horizontal="right" vertical="center"/>
    </xf>
    <xf numFmtId="166" fontId="2" fillId="0" borderId="0" xfId="0" applyNumberFormat="1" applyFont="1" applyAlignment="1">
      <alignment horizontal="right"/>
    </xf>
    <xf numFmtId="166" fontId="71" fillId="0" borderId="0" xfId="0" applyNumberFormat="1" applyFont="1" applyAlignment="1">
      <alignment horizontal="center"/>
    </xf>
    <xf numFmtId="166" fontId="72" fillId="0" borderId="0" xfId="0" applyNumberFormat="1" applyFont="1" applyAlignment="1">
      <alignment horizontal="center"/>
    </xf>
    <xf numFmtId="166" fontId="4" fillId="33" borderId="10" xfId="0" applyNumberFormat="1" applyFont="1" applyFill="1" applyBorder="1" applyAlignment="1">
      <alignment horizontal="center" vertical="center" wrapText="1"/>
    </xf>
    <xf numFmtId="166" fontId="5" fillId="0" borderId="10" xfId="56" applyNumberFormat="1" applyFont="1" applyFill="1" applyBorder="1" applyAlignment="1">
      <alignment horizontal="right" vertical="center"/>
      <protection/>
    </xf>
    <xf numFmtId="166" fontId="6" fillId="0" borderId="10" xfId="58" applyNumberFormat="1" applyFont="1" applyFill="1" applyBorder="1" applyAlignment="1">
      <alignment horizontal="right" vertical="center" wrapText="1"/>
      <protection/>
    </xf>
    <xf numFmtId="166" fontId="71" fillId="0" borderId="10" xfId="0" applyNumberFormat="1" applyFont="1" applyFill="1" applyBorder="1" applyAlignment="1">
      <alignment horizontal="right" vertical="center"/>
    </xf>
    <xf numFmtId="166" fontId="2" fillId="33" borderId="10" xfId="56" applyNumberFormat="1" applyFont="1" applyFill="1" applyBorder="1" applyAlignment="1">
      <alignment horizontal="right" vertical="center"/>
      <protection/>
    </xf>
    <xf numFmtId="166" fontId="4" fillId="33" borderId="10" xfId="58" applyNumberFormat="1" applyFont="1" applyFill="1" applyBorder="1" applyAlignment="1">
      <alignment horizontal="right" vertical="center" wrapText="1"/>
      <protection/>
    </xf>
    <xf numFmtId="166" fontId="4" fillId="0" borderId="10" xfId="58" applyNumberFormat="1" applyFont="1" applyFill="1" applyBorder="1" applyAlignment="1">
      <alignment horizontal="right" vertical="center" wrapText="1"/>
      <protection/>
    </xf>
    <xf numFmtId="166" fontId="71" fillId="0" borderId="0" xfId="0" applyNumberFormat="1" applyFont="1" applyAlignment="1">
      <alignment horizontal="right" vertical="center"/>
    </xf>
    <xf numFmtId="166" fontId="72" fillId="0" borderId="0" xfId="0" applyNumberFormat="1" applyFont="1" applyFill="1" applyAlignment="1">
      <alignment horizontal="right" vertical="center"/>
    </xf>
    <xf numFmtId="166" fontId="72" fillId="0" borderId="0" xfId="0" applyNumberFormat="1" applyFont="1" applyAlignment="1">
      <alignment horizontal="right" vertical="center"/>
    </xf>
    <xf numFmtId="166" fontId="71" fillId="0" borderId="0" xfId="0" applyNumberFormat="1" applyFont="1" applyFill="1" applyAlignment="1">
      <alignment horizontal="right" vertical="center"/>
    </xf>
    <xf numFmtId="166" fontId="71" fillId="0" borderId="0" xfId="0" applyNumberFormat="1" applyFont="1" applyFill="1" applyAlignment="1">
      <alignment horizontal="center"/>
    </xf>
    <xf numFmtId="166" fontId="4" fillId="33" borderId="13" xfId="58" applyNumberFormat="1" applyFont="1" applyFill="1" applyBorder="1" applyAlignment="1">
      <alignment horizontal="right" vertical="center" wrapText="1"/>
      <protection/>
    </xf>
    <xf numFmtId="166" fontId="4" fillId="33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center"/>
    </xf>
    <xf numFmtId="0" fontId="7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" fontId="5" fillId="0" borderId="0" xfId="56" applyNumberFormat="1" applyFont="1" applyFill="1" applyBorder="1" applyAlignment="1">
      <alignment horizontal="right" vertical="center"/>
      <protection/>
    </xf>
    <xf numFmtId="3" fontId="4" fillId="0" borderId="0" xfId="58" applyNumberFormat="1" applyFont="1" applyFill="1" applyBorder="1" applyAlignment="1">
      <alignment horizontal="right" vertical="center" wrapText="1"/>
      <protection/>
    </xf>
    <xf numFmtId="3" fontId="0" fillId="0" borderId="0" xfId="0" applyNumberFormat="1" applyFill="1" applyBorder="1" applyAlignment="1">
      <alignment/>
    </xf>
    <xf numFmtId="3" fontId="4" fillId="33" borderId="14" xfId="58" applyNumberFormat="1" applyFont="1" applyFill="1" applyBorder="1" applyAlignment="1">
      <alignment horizontal="right" vertical="center" wrapText="1"/>
      <protection/>
    </xf>
    <xf numFmtId="3" fontId="0" fillId="0" borderId="0" xfId="0" applyNumberFormat="1" applyAlignment="1">
      <alignment/>
    </xf>
    <xf numFmtId="3" fontId="71" fillId="0" borderId="0" xfId="0" applyNumberFormat="1" applyFont="1" applyAlignment="1">
      <alignment/>
    </xf>
    <xf numFmtId="0" fontId="82" fillId="0" borderId="0" xfId="0" applyFont="1" applyAlignment="1">
      <alignment/>
    </xf>
    <xf numFmtId="3" fontId="0" fillId="0" borderId="10" xfId="0" applyNumberFormat="1" applyBorder="1" applyAlignment="1">
      <alignment/>
    </xf>
    <xf numFmtId="166" fontId="81" fillId="0" borderId="0" xfId="0" applyNumberFormat="1" applyFont="1" applyAlignment="1">
      <alignment/>
    </xf>
    <xf numFmtId="170" fontId="81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4" fillId="36" borderId="56" xfId="0" applyFont="1" applyFill="1" applyBorder="1" applyAlignment="1">
      <alignment vertical="center" wrapText="1"/>
    </xf>
    <xf numFmtId="169" fontId="4" fillId="36" borderId="57" xfId="46" applyNumberFormat="1" applyFont="1" applyFill="1" applyBorder="1" applyAlignment="1">
      <alignment horizontal="right" vertical="center" wrapText="1"/>
    </xf>
    <xf numFmtId="169" fontId="4" fillId="36" borderId="58" xfId="46" applyNumberFormat="1" applyFont="1" applyFill="1" applyBorder="1" applyAlignment="1">
      <alignment horizontal="right" vertical="center" wrapText="1"/>
    </xf>
    <xf numFmtId="169" fontId="4" fillId="36" borderId="59" xfId="46" applyNumberFormat="1" applyFont="1" applyFill="1" applyBorder="1" applyAlignment="1">
      <alignment horizontal="right"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169" fontId="4" fillId="36" borderId="60" xfId="46" applyNumberFormat="1" applyFont="1" applyFill="1" applyBorder="1" applyAlignment="1">
      <alignment horizontal="right" vertical="center" wrapText="1"/>
    </xf>
    <xf numFmtId="169" fontId="4" fillId="0" borderId="33" xfId="46" applyNumberFormat="1" applyFont="1" applyBorder="1" applyAlignment="1">
      <alignment horizontal="right" vertical="center" wrapText="1"/>
    </xf>
    <xf numFmtId="169" fontId="4" fillId="0" borderId="31" xfId="46" applyNumberFormat="1" applyFont="1" applyBorder="1" applyAlignment="1">
      <alignment horizontal="right" vertical="center" wrapText="1"/>
    </xf>
    <xf numFmtId="169" fontId="4" fillId="0" borderId="32" xfId="46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wrapText="1"/>
    </xf>
    <xf numFmtId="169" fontId="6" fillId="0" borderId="25" xfId="46" applyNumberFormat="1" applyFont="1" applyBorder="1" applyAlignment="1">
      <alignment horizontal="right" vertical="center" wrapText="1"/>
    </xf>
    <xf numFmtId="169" fontId="6" fillId="0" borderId="23" xfId="46" applyNumberFormat="1" applyFont="1" applyBorder="1" applyAlignment="1">
      <alignment horizontal="right" vertical="center" wrapText="1"/>
    </xf>
    <xf numFmtId="169" fontId="6" fillId="0" borderId="24" xfId="46" applyNumberFormat="1" applyFont="1" applyBorder="1" applyAlignment="1">
      <alignment horizontal="right" vertical="center" wrapText="1"/>
    </xf>
    <xf numFmtId="169" fontId="6" fillId="0" borderId="12" xfId="46" applyNumberFormat="1" applyFont="1" applyBorder="1" applyAlignment="1">
      <alignment horizontal="right" vertical="center" wrapText="1"/>
    </xf>
    <xf numFmtId="169" fontId="6" fillId="0" borderId="61" xfId="46" applyNumberFormat="1" applyFont="1" applyBorder="1" applyAlignment="1">
      <alignment horizontal="right" vertical="center" wrapText="1"/>
    </xf>
    <xf numFmtId="169" fontId="4" fillId="0" borderId="62" xfId="46" applyNumberFormat="1" applyFont="1" applyBorder="1" applyAlignment="1">
      <alignment horizontal="right" vertical="center" wrapText="1"/>
    </xf>
    <xf numFmtId="42" fontId="6" fillId="0" borderId="10" xfId="0" applyNumberFormat="1" applyFont="1" applyBorder="1" applyAlignment="1">
      <alignment/>
    </xf>
    <xf numFmtId="42" fontId="6" fillId="0" borderId="13" xfId="0" applyNumberFormat="1" applyFont="1" applyBorder="1" applyAlignment="1">
      <alignment horizontal="center" vertical="center"/>
    </xf>
    <xf numFmtId="3" fontId="71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3" fontId="4" fillId="33" borderId="10" xfId="56" applyNumberFormat="1" applyFont="1" applyFill="1" applyBorder="1" applyAlignment="1">
      <alignment horizontal="right" vertical="center"/>
      <protection/>
    </xf>
    <xf numFmtId="3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1" fontId="4" fillId="0" borderId="63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4" xfId="0" applyFont="1" applyBorder="1" applyAlignment="1">
      <alignment wrapText="1"/>
    </xf>
    <xf numFmtId="169" fontId="74" fillId="0" borderId="64" xfId="46" applyNumberFormat="1" applyFont="1" applyBorder="1" applyAlignment="1">
      <alignment horizontal="center" vertical="center" wrapText="1"/>
    </xf>
    <xf numFmtId="169" fontId="74" fillId="0" borderId="20" xfId="46" applyNumberFormat="1" applyFont="1" applyBorder="1" applyAlignment="1">
      <alignment horizontal="center" vertical="center" wrapText="1"/>
    </xf>
    <xf numFmtId="169" fontId="74" fillId="0" borderId="0" xfId="46" applyNumberFormat="1" applyFont="1" applyBorder="1" applyAlignment="1">
      <alignment horizontal="center" vertical="center" wrapText="1"/>
    </xf>
    <xf numFmtId="0" fontId="71" fillId="0" borderId="17" xfId="0" applyFont="1" applyBorder="1" applyAlignment="1">
      <alignment wrapText="1"/>
    </xf>
    <xf numFmtId="168" fontId="6" fillId="0" borderId="0" xfId="0" applyNumberFormat="1" applyFont="1" applyAlignment="1" applyProtection="1">
      <alignment wrapText="1"/>
      <protection locked="0"/>
    </xf>
    <xf numFmtId="0" fontId="0" fillId="0" borderId="0" xfId="0" applyAlignment="1">
      <alignment wrapText="1"/>
    </xf>
    <xf numFmtId="169" fontId="71" fillId="0" borderId="64" xfId="46" applyNumberFormat="1" applyFont="1" applyBorder="1" applyAlignment="1">
      <alignment vertical="center" wrapText="1"/>
    </xf>
    <xf numFmtId="169" fontId="6" fillId="0" borderId="10" xfId="46" applyNumberFormat="1" applyFont="1" applyFill="1" applyBorder="1" applyAlignment="1">
      <alignment horizontal="right" vertical="center" wrapText="1"/>
    </xf>
    <xf numFmtId="169" fontId="71" fillId="0" borderId="36" xfId="46" applyNumberFormat="1" applyFont="1" applyBorder="1" applyAlignment="1">
      <alignment vertical="center" wrapText="1"/>
    </xf>
    <xf numFmtId="0" fontId="4" fillId="36" borderId="65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right" wrapText="1"/>
    </xf>
    <xf numFmtId="169" fontId="6" fillId="0" borderId="14" xfId="46" applyNumberFormat="1" applyFont="1" applyFill="1" applyBorder="1" applyAlignment="1">
      <alignment horizontal="right" vertical="center" wrapText="1"/>
    </xf>
    <xf numFmtId="169" fontId="6" fillId="0" borderId="14" xfId="46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66" xfId="0" applyFont="1" applyBorder="1" applyAlignment="1">
      <alignment wrapText="1"/>
    </xf>
    <xf numFmtId="0" fontId="6" fillId="0" borderId="67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wrapText="1"/>
    </xf>
    <xf numFmtId="0" fontId="6" fillId="34" borderId="17" xfId="0" applyFont="1" applyFill="1" applyBorder="1" applyAlignment="1">
      <alignment wrapText="1"/>
    </xf>
    <xf numFmtId="0" fontId="6" fillId="0" borderId="68" xfId="0" applyFont="1" applyBorder="1" applyAlignment="1">
      <alignment vertical="center" wrapText="1"/>
    </xf>
    <xf numFmtId="169" fontId="6" fillId="0" borderId="30" xfId="46" applyNumberFormat="1" applyFont="1" applyBorder="1" applyAlignment="1">
      <alignment horizontal="right" wrapText="1"/>
    </xf>
    <xf numFmtId="175" fontId="6" fillId="0" borderId="10" xfId="61" applyNumberFormat="1" applyFont="1" applyFill="1" applyBorder="1" applyAlignment="1">
      <alignment horizontal="right"/>
    </xf>
    <xf numFmtId="1" fontId="0" fillId="0" borderId="0" xfId="61" applyNumberFormat="1" applyFont="1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2" xfId="5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10" xfId="56" applyNumberFormat="1" applyFont="1" applyFill="1" applyBorder="1" applyAlignment="1">
      <alignment/>
      <protection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49" fontId="6" fillId="0" borderId="10" xfId="56" applyNumberFormat="1" applyFont="1" applyFill="1" applyBorder="1" applyAlignment="1" quotePrefix="1">
      <alignment horizontal="center" vertical="center"/>
      <protection/>
    </xf>
    <xf numFmtId="0" fontId="6" fillId="0" borderId="10" xfId="56" applyFont="1" applyFill="1" applyBorder="1" applyAlignment="1">
      <alignment vertical="center" wrapText="1"/>
      <protection/>
    </xf>
    <xf numFmtId="166" fontId="47" fillId="0" borderId="0" xfId="0" applyNumberFormat="1" applyFont="1" applyAlignment="1">
      <alignment/>
    </xf>
    <xf numFmtId="49" fontId="4" fillId="33" borderId="10" xfId="56" applyNumberFormat="1" applyFont="1" applyFill="1" applyBorder="1" applyAlignment="1" quotePrefix="1">
      <alignment horizontal="center" vertical="center"/>
      <protection/>
    </xf>
    <xf numFmtId="3" fontId="47" fillId="0" borderId="0" xfId="0" applyNumberFormat="1" applyFont="1" applyAlignment="1">
      <alignment/>
    </xf>
    <xf numFmtId="11" fontId="4" fillId="33" borderId="10" xfId="56" applyNumberFormat="1" applyFont="1" applyFill="1" applyBorder="1" applyAlignment="1">
      <alignment horizontal="left" vertical="center" wrapText="1"/>
      <protection/>
    </xf>
    <xf numFmtId="11" fontId="6" fillId="34" borderId="10" xfId="56" applyNumberFormat="1" applyFont="1" applyFill="1" applyBorder="1" applyAlignment="1">
      <alignment horizontal="left" vertical="center" wrapText="1"/>
      <protection/>
    </xf>
    <xf numFmtId="49" fontId="4" fillId="35" borderId="10" xfId="56" applyNumberFormat="1" applyFont="1" applyFill="1" applyBorder="1" applyAlignment="1" quotePrefix="1">
      <alignment horizontal="center" vertical="center"/>
      <protection/>
    </xf>
    <xf numFmtId="49" fontId="4" fillId="0" borderId="11" xfId="56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Alignment="1">
      <alignment/>
    </xf>
    <xf numFmtId="49" fontId="4" fillId="33" borderId="12" xfId="56" applyNumberFormat="1" applyFont="1" applyFill="1" applyBorder="1" applyAlignment="1" quotePrefix="1">
      <alignment horizontal="center" vertical="center"/>
      <protection/>
    </xf>
    <xf numFmtId="0" fontId="47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48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37" fontId="6" fillId="0" borderId="48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5" fillId="0" borderId="15" xfId="0" applyFont="1" applyBorder="1" applyAlignment="1">
      <alignment horizontal="left" wrapText="1"/>
    </xf>
    <xf numFmtId="0" fontId="5" fillId="0" borderId="17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5" fillId="0" borderId="18" xfId="0" applyFont="1" applyBorder="1" applyAlignment="1">
      <alignment wrapText="1"/>
    </xf>
    <xf numFmtId="0" fontId="6" fillId="0" borderId="0" xfId="0" applyFont="1" applyAlignment="1">
      <alignment wrapText="1"/>
    </xf>
    <xf numFmtId="3" fontId="79" fillId="0" borderId="0" xfId="0" applyNumberFormat="1" applyFont="1" applyBorder="1" applyAlignment="1">
      <alignment/>
    </xf>
    <xf numFmtId="3" fontId="73" fillId="0" borderId="0" xfId="0" applyNumberFormat="1" applyFont="1" applyBorder="1" applyAlignment="1">
      <alignment/>
    </xf>
    <xf numFmtId="0" fontId="73" fillId="0" borderId="0" xfId="0" applyFont="1" applyBorder="1" applyAlignment="1">
      <alignment/>
    </xf>
    <xf numFmtId="0" fontId="0" fillId="0" borderId="0" xfId="0" applyBorder="1" applyAlignment="1">
      <alignment/>
    </xf>
    <xf numFmtId="2" fontId="73" fillId="0" borderId="0" xfId="0" applyNumberFormat="1" applyFont="1" applyBorder="1" applyAlignment="1">
      <alignment horizontal="right"/>
    </xf>
    <xf numFmtId="4" fontId="7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71" fillId="0" borderId="0" xfId="0" applyNumberFormat="1" applyFont="1" applyBorder="1" applyAlignment="1">
      <alignment/>
    </xf>
    <xf numFmtId="0" fontId="71" fillId="0" borderId="0" xfId="0" applyFont="1" applyBorder="1" applyAlignment="1">
      <alignment/>
    </xf>
    <xf numFmtId="166" fontId="74" fillId="0" borderId="0" xfId="0" applyNumberFormat="1" applyFont="1" applyBorder="1" applyAlignment="1">
      <alignment/>
    </xf>
    <xf numFmtId="166" fontId="71" fillId="0" borderId="0" xfId="0" applyNumberFormat="1" applyFont="1" applyFill="1" applyBorder="1" applyAlignment="1">
      <alignment/>
    </xf>
    <xf numFmtId="168" fontId="6" fillId="0" borderId="69" xfId="0" applyNumberFormat="1" applyFont="1" applyBorder="1" applyAlignment="1" applyProtection="1">
      <alignment horizontal="right"/>
      <protection locked="0"/>
    </xf>
    <xf numFmtId="0" fontId="74" fillId="0" borderId="0" xfId="0" applyFont="1" applyAlignment="1">
      <alignment horizontal="center" wrapText="1"/>
    </xf>
    <xf numFmtId="169" fontId="74" fillId="0" borderId="34" xfId="46" applyNumberFormat="1" applyFont="1" applyBorder="1" applyAlignment="1">
      <alignment horizontal="center" vertical="center" wrapText="1"/>
    </xf>
    <xf numFmtId="169" fontId="74" fillId="0" borderId="35" xfId="46" applyNumberFormat="1" applyFont="1" applyBorder="1" applyAlignment="1">
      <alignment horizontal="center" vertical="center" wrapText="1"/>
    </xf>
    <xf numFmtId="0" fontId="71" fillId="0" borderId="36" xfId="0" applyFont="1" applyBorder="1" applyAlignment="1">
      <alignment vertical="center" wrapText="1"/>
    </xf>
    <xf numFmtId="169" fontId="71" fillId="0" borderId="16" xfId="46" applyNumberFormat="1" applyFont="1" applyBorder="1" applyAlignment="1">
      <alignment vertical="center" wrapText="1"/>
    </xf>
    <xf numFmtId="169" fontId="71" fillId="0" borderId="69" xfId="46" applyNumberFormat="1" applyFont="1" applyBorder="1" applyAlignment="1">
      <alignment vertical="center" wrapText="1"/>
    </xf>
    <xf numFmtId="0" fontId="71" fillId="0" borderId="0" xfId="0" applyFont="1" applyAlignment="1">
      <alignment wrapText="1"/>
    </xf>
    <xf numFmtId="0" fontId="71" fillId="0" borderId="10" xfId="0" applyFont="1" applyBorder="1" applyAlignment="1">
      <alignment wrapText="1"/>
    </xf>
    <xf numFmtId="169" fontId="71" fillId="0" borderId="20" xfId="46" applyNumberFormat="1" applyFont="1" applyBorder="1" applyAlignment="1">
      <alignment vertical="center" wrapText="1"/>
    </xf>
    <xf numFmtId="169" fontId="71" fillId="0" borderId="0" xfId="46" applyNumberFormat="1" applyFont="1" applyBorder="1" applyAlignment="1">
      <alignment vertical="center" wrapText="1"/>
    </xf>
    <xf numFmtId="169" fontId="74" fillId="36" borderId="40" xfId="46" applyNumberFormat="1" applyFont="1" applyFill="1" applyBorder="1" applyAlignment="1">
      <alignment vertical="center" wrapText="1"/>
    </xf>
    <xf numFmtId="169" fontId="74" fillId="36" borderId="22" xfId="46" applyNumberFormat="1" applyFont="1" applyFill="1" applyBorder="1" applyAlignment="1">
      <alignment vertical="center" wrapText="1"/>
    </xf>
    <xf numFmtId="169" fontId="74" fillId="36" borderId="70" xfId="46" applyNumberFormat="1" applyFont="1" applyFill="1" applyBorder="1" applyAlignment="1">
      <alignment vertical="center" wrapText="1"/>
    </xf>
    <xf numFmtId="0" fontId="74" fillId="0" borderId="0" xfId="0" applyFont="1" applyAlignment="1">
      <alignment wrapText="1"/>
    </xf>
    <xf numFmtId="169" fontId="71" fillId="0" borderId="10" xfId="46" applyNumberFormat="1" applyFont="1" applyBorder="1" applyAlignment="1">
      <alignment vertical="center" wrapText="1"/>
    </xf>
    <xf numFmtId="0" fontId="74" fillId="0" borderId="36" xfId="0" applyFont="1" applyBorder="1" applyAlignment="1">
      <alignment horizontal="left" vertical="center" wrapText="1"/>
    </xf>
    <xf numFmtId="0" fontId="74" fillId="0" borderId="40" xfId="0" applyFont="1" applyBorder="1" applyAlignment="1">
      <alignment horizontal="left" vertical="center" wrapText="1"/>
    </xf>
    <xf numFmtId="169" fontId="74" fillId="0" borderId="71" xfId="46" applyNumberFormat="1" applyFont="1" applyBorder="1" applyAlignment="1">
      <alignment horizontal="center" vertical="center" wrapText="1"/>
    </xf>
    <xf numFmtId="169" fontId="74" fillId="0" borderId="72" xfId="46" applyNumberFormat="1" applyFont="1" applyBorder="1" applyAlignment="1">
      <alignment horizontal="center" vertical="center" wrapText="1"/>
    </xf>
    <xf numFmtId="169" fontId="74" fillId="0" borderId="23" xfId="46" applyNumberFormat="1" applyFont="1" applyBorder="1" applyAlignment="1">
      <alignment horizontal="center" vertical="center" wrapText="1"/>
    </xf>
    <xf numFmtId="169" fontId="74" fillId="0" borderId="73" xfId="46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9" fontId="74" fillId="0" borderId="71" xfId="46" applyNumberFormat="1" applyFont="1" applyBorder="1" applyAlignment="1">
      <alignment horizontal="left" vertical="center" wrapText="1"/>
    </xf>
    <xf numFmtId="168" fontId="6" fillId="0" borderId="0" xfId="0" applyNumberFormat="1" applyFont="1" applyAlignment="1" applyProtection="1">
      <alignment horizontal="left"/>
      <protection locked="0"/>
    </xf>
    <xf numFmtId="169" fontId="71" fillId="0" borderId="74" xfId="46" applyNumberFormat="1" applyFont="1" applyBorder="1" applyAlignment="1">
      <alignment vertical="center" wrapText="1"/>
    </xf>
    <xf numFmtId="169" fontId="71" fillId="0" borderId="14" xfId="46" applyNumberFormat="1" applyFont="1" applyBorder="1" applyAlignment="1">
      <alignment vertical="center" wrapText="1"/>
    </xf>
    <xf numFmtId="0" fontId="74" fillId="36" borderId="65" xfId="0" applyFont="1" applyFill="1" applyBorder="1" applyAlignment="1">
      <alignment vertical="center" wrapText="1"/>
    </xf>
    <xf numFmtId="169" fontId="74" fillId="36" borderId="57" xfId="46" applyNumberFormat="1" applyFont="1" applyFill="1" applyBorder="1" applyAlignment="1">
      <alignment horizontal="left" vertical="center" wrapText="1"/>
    </xf>
    <xf numFmtId="169" fontId="74" fillId="36" borderId="57" xfId="46" applyNumberFormat="1" applyFont="1" applyFill="1" applyBorder="1" applyAlignment="1">
      <alignment vertical="center" wrapText="1"/>
    </xf>
    <xf numFmtId="169" fontId="74" fillId="36" borderId="75" xfId="46" applyNumberFormat="1" applyFont="1" applyFill="1" applyBorder="1" applyAlignment="1">
      <alignment vertical="center" wrapText="1"/>
    </xf>
    <xf numFmtId="0" fontId="71" fillId="0" borderId="12" xfId="0" applyFont="1" applyBorder="1" applyAlignment="1">
      <alignment vertical="center" wrapText="1"/>
    </xf>
    <xf numFmtId="0" fontId="71" fillId="0" borderId="14" xfId="0" applyFont="1" applyBorder="1" applyAlignment="1">
      <alignment wrapText="1"/>
    </xf>
    <xf numFmtId="169" fontId="71" fillId="0" borderId="67" xfId="46" applyNumberFormat="1" applyFont="1" applyBorder="1" applyAlignment="1">
      <alignment horizontal="left" vertical="center" wrapText="1"/>
    </xf>
    <xf numFmtId="169" fontId="71" fillId="0" borderId="15" xfId="46" applyNumberFormat="1" applyFont="1" applyBorder="1" applyAlignment="1">
      <alignment horizontal="left" vertical="top" wrapText="1"/>
    </xf>
    <xf numFmtId="169" fontId="71" fillId="0" borderId="15" xfId="46" applyNumberFormat="1" applyFont="1" applyBorder="1" applyAlignment="1">
      <alignment horizontal="left" vertical="center" wrapText="1"/>
    </xf>
    <xf numFmtId="0" fontId="71" fillId="0" borderId="17" xfId="0" applyFont="1" applyBorder="1" applyAlignment="1">
      <alignment horizontal="left" wrapText="1"/>
    </xf>
    <xf numFmtId="169" fontId="71" fillId="0" borderId="17" xfId="46" applyNumberFormat="1" applyFont="1" applyBorder="1" applyAlignment="1">
      <alignment horizontal="left" vertical="center" wrapText="1"/>
    </xf>
    <xf numFmtId="169" fontId="71" fillId="0" borderId="76" xfId="46" applyNumberFormat="1" applyFont="1" applyBorder="1" applyAlignment="1">
      <alignment horizontal="left" vertical="center" wrapText="1"/>
    </xf>
    <xf numFmtId="0" fontId="71" fillId="0" borderId="12" xfId="0" applyFont="1" applyBorder="1" applyAlignment="1">
      <alignment wrapText="1"/>
    </xf>
    <xf numFmtId="169" fontId="71" fillId="0" borderId="12" xfId="46" applyNumberFormat="1" applyFont="1" applyBorder="1" applyAlignment="1">
      <alignment vertical="center" wrapText="1"/>
    </xf>
    <xf numFmtId="169" fontId="71" fillId="0" borderId="67" xfId="46" applyNumberFormat="1" applyFont="1" applyBorder="1" applyAlignment="1">
      <alignment vertical="center" wrapText="1"/>
    </xf>
    <xf numFmtId="169" fontId="71" fillId="0" borderId="15" xfId="46" applyNumberFormat="1" applyFont="1" applyBorder="1" applyAlignment="1">
      <alignment vertical="center" wrapText="1"/>
    </xf>
    <xf numFmtId="169" fontId="71" fillId="0" borderId="17" xfId="46" applyNumberFormat="1" applyFont="1" applyBorder="1" applyAlignment="1">
      <alignment vertical="center" wrapText="1"/>
    </xf>
    <xf numFmtId="169" fontId="71" fillId="0" borderId="76" xfId="46" applyNumberFormat="1" applyFont="1" applyBorder="1" applyAlignment="1">
      <alignment vertical="center" wrapText="1"/>
    </xf>
    <xf numFmtId="169" fontId="71" fillId="0" borderId="13" xfId="46" applyNumberFormat="1" applyFont="1" applyBorder="1" applyAlignment="1">
      <alignment vertical="center" wrapText="1"/>
    </xf>
    <xf numFmtId="0" fontId="67" fillId="0" borderId="0" xfId="0" applyFont="1" applyBorder="1" applyAlignment="1">
      <alignment/>
    </xf>
    <xf numFmtId="170" fontId="67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/>
    </xf>
    <xf numFmtId="170" fontId="0" fillId="0" borderId="0" xfId="0" applyNumberFormat="1" applyBorder="1" applyAlignment="1">
      <alignment wrapText="1"/>
    </xf>
    <xf numFmtId="170" fontId="0" fillId="0" borderId="0" xfId="0" applyNumberFormat="1" applyBorder="1" applyAlignment="1">
      <alignment/>
    </xf>
    <xf numFmtId="170" fontId="84" fillId="0" borderId="0" xfId="0" applyNumberFormat="1" applyFont="1" applyBorder="1" applyAlignment="1">
      <alignment horizontal="center" vertical="center"/>
    </xf>
    <xf numFmtId="170" fontId="67" fillId="0" borderId="0" xfId="0" applyNumberFormat="1" applyFont="1" applyBorder="1" applyAlignment="1">
      <alignment wrapText="1"/>
    </xf>
    <xf numFmtId="170" fontId="84" fillId="0" borderId="0" xfId="0" applyNumberFormat="1" applyFont="1" applyBorder="1" applyAlignment="1">
      <alignment/>
    </xf>
    <xf numFmtId="170" fontId="67" fillId="37" borderId="0" xfId="0" applyNumberFormat="1" applyFont="1" applyFill="1" applyBorder="1" applyAlignment="1">
      <alignment/>
    </xf>
    <xf numFmtId="170" fontId="67" fillId="37" borderId="0" xfId="0" applyNumberFormat="1" applyFont="1" applyFill="1" applyBorder="1" applyAlignment="1">
      <alignment wrapText="1"/>
    </xf>
    <xf numFmtId="170" fontId="84" fillId="0" borderId="0" xfId="0" applyNumberFormat="1" applyFont="1" applyBorder="1" applyAlignment="1">
      <alignment vertical="center"/>
    </xf>
    <xf numFmtId="0" fontId="84" fillId="0" borderId="0" xfId="0" applyFont="1" applyBorder="1" applyAlignment="1">
      <alignment/>
    </xf>
    <xf numFmtId="170" fontId="0" fillId="34" borderId="0" xfId="0" applyNumberFormat="1" applyFill="1" applyBorder="1" applyAlignment="1">
      <alignment/>
    </xf>
    <xf numFmtId="170" fontId="0" fillId="34" borderId="0" xfId="0" applyNumberFormat="1" applyFill="1" applyBorder="1" applyAlignment="1">
      <alignment wrapText="1"/>
    </xf>
    <xf numFmtId="170" fontId="51" fillId="34" borderId="0" xfId="0" applyNumberFormat="1" applyFont="1" applyFill="1" applyBorder="1" applyAlignment="1">
      <alignment/>
    </xf>
    <xf numFmtId="170" fontId="59" fillId="34" borderId="0" xfId="0" applyNumberFormat="1" applyFont="1" applyFill="1" applyBorder="1" applyAlignment="1">
      <alignment/>
    </xf>
    <xf numFmtId="0" fontId="84" fillId="37" borderId="0" xfId="0" applyFont="1" applyFill="1" applyBorder="1" applyAlignment="1">
      <alignment/>
    </xf>
    <xf numFmtId="170" fontId="84" fillId="37" borderId="0" xfId="0" applyNumberFormat="1" applyFont="1" applyFill="1" applyBorder="1" applyAlignment="1">
      <alignment/>
    </xf>
    <xf numFmtId="170" fontId="59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85" fillId="0" borderId="0" xfId="0" applyFont="1" applyBorder="1" applyAlignment="1">
      <alignment horizontal="center"/>
    </xf>
    <xf numFmtId="0" fontId="85" fillId="0" borderId="77" xfId="0" applyFont="1" applyBorder="1" applyAlignment="1">
      <alignment horizontal="center"/>
    </xf>
    <xf numFmtId="0" fontId="85" fillId="0" borderId="69" xfId="0" applyFont="1" applyBorder="1" applyAlignment="1">
      <alignment horizontal="center"/>
    </xf>
    <xf numFmtId="49" fontId="2" fillId="33" borderId="10" xfId="56" applyNumberFormat="1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2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left" vertical="center"/>
      <protection/>
    </xf>
    <xf numFmtId="0" fontId="5" fillId="0" borderId="12" xfId="56" applyFont="1" applyFill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33" borderId="10" xfId="56" applyFont="1" applyFill="1" applyBorder="1" applyAlignment="1">
      <alignment horizontal="left" vertical="center"/>
      <protection/>
    </xf>
    <xf numFmtId="0" fontId="5" fillId="0" borderId="13" xfId="56" applyFont="1" applyFill="1" applyBorder="1" applyAlignment="1">
      <alignment horizontal="left" vertical="center"/>
      <protection/>
    </xf>
    <xf numFmtId="0" fontId="5" fillId="0" borderId="14" xfId="56" applyFont="1" applyFill="1" applyBorder="1" applyAlignment="1">
      <alignment horizontal="left" vertical="center"/>
      <protection/>
    </xf>
    <xf numFmtId="0" fontId="2" fillId="33" borderId="12" xfId="56" applyFont="1" applyFill="1" applyBorder="1" applyAlignment="1">
      <alignment horizontal="left" vertical="center"/>
      <protection/>
    </xf>
    <xf numFmtId="0" fontId="2" fillId="33" borderId="13" xfId="56" applyFont="1" applyFill="1" applyBorder="1" applyAlignment="1">
      <alignment horizontal="left" vertical="center"/>
      <protection/>
    </xf>
    <xf numFmtId="0" fontId="2" fillId="33" borderId="14" xfId="56" applyFont="1" applyFill="1" applyBorder="1" applyAlignment="1">
      <alignment horizontal="left" vertical="center"/>
      <protection/>
    </xf>
    <xf numFmtId="0" fontId="85" fillId="0" borderId="69" xfId="0" applyFont="1" applyFill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6" fillId="0" borderId="77" xfId="0" applyFont="1" applyBorder="1" applyAlignment="1">
      <alignment horizontal="center"/>
    </xf>
    <xf numFmtId="0" fontId="86" fillId="0" borderId="69" xfId="0" applyFont="1" applyBorder="1" applyAlignment="1">
      <alignment horizontal="center"/>
    </xf>
    <xf numFmtId="0" fontId="5" fillId="0" borderId="10" xfId="56" applyFont="1" applyFill="1" applyBorder="1" applyAlignment="1">
      <alignment vertical="center"/>
      <protection/>
    </xf>
    <xf numFmtId="0" fontId="5" fillId="0" borderId="12" xfId="56" applyFont="1" applyFill="1" applyBorder="1" applyAlignment="1">
      <alignment vertical="center"/>
      <protection/>
    </xf>
    <xf numFmtId="0" fontId="5" fillId="0" borderId="13" xfId="56" applyFont="1" applyFill="1" applyBorder="1" applyAlignment="1">
      <alignment vertical="center"/>
      <protection/>
    </xf>
    <xf numFmtId="0" fontId="5" fillId="0" borderId="14" xfId="56" applyFont="1" applyFill="1" applyBorder="1" applyAlignment="1">
      <alignment vertical="center"/>
      <protection/>
    </xf>
    <xf numFmtId="0" fontId="5" fillId="34" borderId="12" xfId="56" applyFont="1" applyFill="1" applyBorder="1" applyAlignment="1">
      <alignment horizontal="left" vertical="center"/>
      <protection/>
    </xf>
    <xf numFmtId="0" fontId="5" fillId="34" borderId="13" xfId="56" applyFont="1" applyFill="1" applyBorder="1" applyAlignment="1">
      <alignment horizontal="left" vertical="center"/>
      <protection/>
    </xf>
    <xf numFmtId="0" fontId="5" fillId="34" borderId="14" xfId="56" applyFont="1" applyFill="1" applyBorder="1" applyAlignment="1">
      <alignment horizontal="left" vertical="center"/>
      <protection/>
    </xf>
    <xf numFmtId="0" fontId="86" fillId="0" borderId="69" xfId="0" applyFont="1" applyFill="1" applyBorder="1" applyAlignment="1">
      <alignment horizontal="center"/>
    </xf>
    <xf numFmtId="0" fontId="4" fillId="33" borderId="10" xfId="56" applyFont="1" applyFill="1" applyBorder="1" applyAlignment="1">
      <alignment wrapText="1"/>
      <protection/>
    </xf>
    <xf numFmtId="0" fontId="81" fillId="0" borderId="13" xfId="0" applyFont="1" applyBorder="1" applyAlignment="1">
      <alignment horizontal="left" vertical="center"/>
    </xf>
    <xf numFmtId="0" fontId="81" fillId="0" borderId="14" xfId="0" applyFont="1" applyBorder="1" applyAlignment="1">
      <alignment horizontal="left" vertical="center"/>
    </xf>
    <xf numFmtId="0" fontId="4" fillId="33" borderId="10" xfId="56" applyFont="1" applyFill="1" applyBorder="1" applyAlignment="1">
      <alignment vertical="center" wrapText="1"/>
      <protection/>
    </xf>
    <xf numFmtId="0" fontId="6" fillId="0" borderId="10" xfId="56" applyFont="1" applyFill="1" applyBorder="1" applyAlignment="1">
      <alignment horizontal="left" vertical="center"/>
      <protection/>
    </xf>
    <xf numFmtId="0" fontId="6" fillId="0" borderId="12" xfId="56" applyFont="1" applyFill="1" applyBorder="1" applyAlignment="1">
      <alignment horizontal="left" vertical="center"/>
      <protection/>
    </xf>
    <xf numFmtId="0" fontId="6" fillId="0" borderId="13" xfId="56" applyFont="1" applyFill="1" applyBorder="1" applyAlignment="1">
      <alignment horizontal="left" vertical="center"/>
      <protection/>
    </xf>
    <xf numFmtId="0" fontId="6" fillId="0" borderId="14" xfId="56" applyFont="1" applyFill="1" applyBorder="1" applyAlignment="1">
      <alignment horizontal="left" vertical="center"/>
      <protection/>
    </xf>
    <xf numFmtId="0" fontId="4" fillId="33" borderId="12" xfId="56" applyFont="1" applyFill="1" applyBorder="1" applyAlignment="1">
      <alignment horizontal="left" vertical="center"/>
      <protection/>
    </xf>
    <xf numFmtId="0" fontId="4" fillId="33" borderId="13" xfId="56" applyFont="1" applyFill="1" applyBorder="1" applyAlignment="1">
      <alignment horizontal="left" vertical="center"/>
      <protection/>
    </xf>
    <xf numFmtId="0" fontId="4" fillId="33" borderId="14" xfId="56" applyFont="1" applyFill="1" applyBorder="1" applyAlignment="1">
      <alignment horizontal="left" vertical="center"/>
      <protection/>
    </xf>
    <xf numFmtId="0" fontId="4" fillId="33" borderId="10" xfId="56" applyFont="1" applyFill="1" applyBorder="1" applyAlignment="1">
      <alignment horizontal="left" vertical="center"/>
      <protection/>
    </xf>
    <xf numFmtId="0" fontId="4" fillId="0" borderId="69" xfId="0" applyFont="1" applyFill="1" applyBorder="1" applyAlignment="1">
      <alignment horizont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vertical="center"/>
      <protection/>
    </xf>
    <xf numFmtId="0" fontId="6" fillId="0" borderId="12" xfId="56" applyFont="1" applyFill="1" applyBorder="1" applyAlignment="1">
      <alignment vertical="center"/>
      <protection/>
    </xf>
    <xf numFmtId="0" fontId="6" fillId="0" borderId="13" xfId="56" applyFont="1" applyFill="1" applyBorder="1" applyAlignment="1">
      <alignment vertical="center"/>
      <protection/>
    </xf>
    <xf numFmtId="0" fontId="6" fillId="0" borderId="14" xfId="56" applyFont="1" applyFill="1" applyBorder="1" applyAlignment="1">
      <alignment vertical="center"/>
      <protection/>
    </xf>
    <xf numFmtId="0" fontId="4" fillId="0" borderId="0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34" borderId="12" xfId="56" applyFont="1" applyFill="1" applyBorder="1" applyAlignment="1">
      <alignment horizontal="left" vertical="center"/>
      <protection/>
    </xf>
    <xf numFmtId="0" fontId="6" fillId="34" borderId="13" xfId="56" applyFont="1" applyFill="1" applyBorder="1" applyAlignment="1">
      <alignment horizontal="left" vertical="center"/>
      <protection/>
    </xf>
    <xf numFmtId="0" fontId="6" fillId="34" borderId="14" xfId="56" applyFont="1" applyFill="1" applyBorder="1" applyAlignment="1">
      <alignment horizontal="left" vertical="center"/>
      <protection/>
    </xf>
    <xf numFmtId="0" fontId="2" fillId="0" borderId="12" xfId="56" applyFont="1" applyFill="1" applyBorder="1" applyAlignment="1">
      <alignment horizontal="left" vertical="center"/>
      <protection/>
    </xf>
    <xf numFmtId="0" fontId="2" fillId="0" borderId="13" xfId="56" applyFont="1" applyFill="1" applyBorder="1" applyAlignment="1">
      <alignment horizontal="left" vertical="center"/>
      <protection/>
    </xf>
    <xf numFmtId="0" fontId="2" fillId="0" borderId="14" xfId="56" applyFont="1" applyFill="1" applyBorder="1" applyAlignment="1">
      <alignment horizontal="left" vertical="center"/>
      <protection/>
    </xf>
    <xf numFmtId="0" fontId="4" fillId="33" borderId="10" xfId="56" applyFont="1" applyFill="1" applyBorder="1" applyAlignment="1">
      <alignment horizontal="center" wrapText="1"/>
      <protection/>
    </xf>
    <xf numFmtId="0" fontId="4" fillId="33" borderId="12" xfId="56" applyFont="1" applyFill="1" applyBorder="1" applyAlignment="1">
      <alignment horizontal="center" wrapText="1"/>
      <protection/>
    </xf>
    <xf numFmtId="0" fontId="4" fillId="33" borderId="13" xfId="56" applyFont="1" applyFill="1" applyBorder="1" applyAlignment="1">
      <alignment horizontal="center" wrapText="1"/>
      <protection/>
    </xf>
    <xf numFmtId="0" fontId="86" fillId="0" borderId="0" xfId="0" applyFont="1" applyFill="1" applyBorder="1" applyAlignment="1">
      <alignment horizontal="center"/>
    </xf>
    <xf numFmtId="0" fontId="4" fillId="0" borderId="0" xfId="56" applyFont="1" applyFill="1" applyBorder="1" applyAlignment="1">
      <alignment horizontal="center" vertical="center" wrapText="1"/>
      <protection/>
    </xf>
    <xf numFmtId="166" fontId="4" fillId="33" borderId="10" xfId="56" applyNumberFormat="1" applyFont="1" applyFill="1" applyBorder="1" applyAlignment="1">
      <alignment horizontal="center" vertical="center" wrapText="1"/>
      <protection/>
    </xf>
    <xf numFmtId="166" fontId="4" fillId="33" borderId="12" xfId="56" applyNumberFormat="1" applyFont="1" applyFill="1" applyBorder="1" applyAlignment="1">
      <alignment horizontal="center" vertical="center" wrapText="1"/>
      <protection/>
    </xf>
    <xf numFmtId="166" fontId="4" fillId="33" borderId="13" xfId="56" applyNumberFormat="1" applyFont="1" applyFill="1" applyBorder="1" applyAlignment="1">
      <alignment horizontal="center" vertical="center" wrapText="1"/>
      <protection/>
    </xf>
    <xf numFmtId="166" fontId="4" fillId="33" borderId="14" xfId="56" applyNumberFormat="1" applyFont="1" applyFill="1" applyBorder="1" applyAlignment="1">
      <alignment horizontal="center" vertical="center" wrapText="1"/>
      <protection/>
    </xf>
    <xf numFmtId="170" fontId="67" fillId="37" borderId="0" xfId="0" applyNumberFormat="1" applyFont="1" applyFill="1" applyBorder="1" applyAlignment="1">
      <alignment horizontal="center"/>
    </xf>
    <xf numFmtId="0" fontId="67" fillId="34" borderId="0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168" fontId="6" fillId="0" borderId="0" xfId="0" applyNumberFormat="1" applyFont="1" applyAlignment="1" applyProtection="1">
      <alignment horizontal="right"/>
      <protection locked="0"/>
    </xf>
    <xf numFmtId="0" fontId="4" fillId="0" borderId="67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169" fontId="4" fillId="0" borderId="80" xfId="46" applyNumberFormat="1" applyFont="1" applyBorder="1" applyAlignment="1">
      <alignment horizontal="center" vertical="center" wrapText="1"/>
    </xf>
    <xf numFmtId="169" fontId="4" fillId="0" borderId="81" xfId="46" applyNumberFormat="1" applyFont="1" applyBorder="1" applyAlignment="1">
      <alignment horizontal="center" vertical="center" wrapText="1"/>
    </xf>
    <xf numFmtId="169" fontId="4" fillId="0" borderId="82" xfId="46" applyNumberFormat="1" applyFont="1" applyBorder="1" applyAlignment="1">
      <alignment horizontal="center" vertical="center" wrapText="1"/>
    </xf>
    <xf numFmtId="169" fontId="4" fillId="0" borderId="83" xfId="46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/>
    </xf>
    <xf numFmtId="170" fontId="84" fillId="0" borderId="0" xfId="0" applyNumberFormat="1" applyFont="1" applyBorder="1" applyAlignment="1">
      <alignment horizontal="center" vertical="center"/>
    </xf>
    <xf numFmtId="0" fontId="74" fillId="0" borderId="84" xfId="0" applyFont="1" applyBorder="1" applyAlignment="1">
      <alignment horizontal="center" vertical="center" wrapText="1"/>
    </xf>
    <xf numFmtId="0" fontId="74" fillId="0" borderId="56" xfId="0" applyFont="1" applyBorder="1" applyAlignment="1">
      <alignment horizontal="center" vertical="center" wrapText="1"/>
    </xf>
    <xf numFmtId="169" fontId="74" fillId="0" borderId="84" xfId="46" applyNumberFormat="1" applyFont="1" applyBorder="1" applyAlignment="1">
      <alignment horizontal="left" vertical="center" wrapText="1"/>
    </xf>
    <xf numFmtId="169" fontId="74" fillId="0" borderId="56" xfId="46" applyNumberFormat="1" applyFont="1" applyBorder="1" applyAlignment="1">
      <alignment horizontal="left" vertical="center" wrapText="1"/>
    </xf>
    <xf numFmtId="169" fontId="74" fillId="0" borderId="85" xfId="46" applyNumberFormat="1" applyFont="1" applyBorder="1" applyAlignment="1">
      <alignment horizontal="center" vertical="center" wrapText="1"/>
    </xf>
    <xf numFmtId="169" fontId="74" fillId="0" borderId="78" xfId="46" applyNumberFormat="1" applyFont="1" applyBorder="1" applyAlignment="1">
      <alignment horizontal="center" vertical="center" wrapText="1"/>
    </xf>
    <xf numFmtId="169" fontId="74" fillId="0" borderId="86" xfId="46" applyNumberFormat="1" applyFont="1" applyBorder="1" applyAlignment="1">
      <alignment horizontal="center" vertical="center" wrapText="1"/>
    </xf>
    <xf numFmtId="169" fontId="74" fillId="0" borderId="37" xfId="46" applyNumberFormat="1" applyFont="1" applyBorder="1" applyAlignment="1">
      <alignment horizontal="center" vertical="center" wrapText="1"/>
    </xf>
    <xf numFmtId="169" fontId="74" fillId="0" borderId="13" xfId="46" applyNumberFormat="1" applyFont="1" applyBorder="1" applyAlignment="1">
      <alignment horizontal="center" vertical="center" wrapText="1"/>
    </xf>
    <xf numFmtId="169" fontId="74" fillId="0" borderId="38" xfId="46" applyNumberFormat="1" applyFont="1" applyBorder="1" applyAlignment="1">
      <alignment horizontal="center" vertical="center" wrapText="1"/>
    </xf>
    <xf numFmtId="0" fontId="2" fillId="0" borderId="69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87" xfId="0" applyFont="1" applyBorder="1" applyAlignment="1">
      <alignment horizontal="center" vertical="center" wrapText="1"/>
    </xf>
    <xf numFmtId="43" fontId="74" fillId="0" borderId="37" xfId="46" applyFont="1" applyBorder="1" applyAlignment="1">
      <alignment horizontal="center" vertical="center" wrapText="1"/>
    </xf>
    <xf numFmtId="43" fontId="74" fillId="0" borderId="13" xfId="46" applyFont="1" applyBorder="1" applyAlignment="1">
      <alignment horizontal="center" vertical="center" wrapText="1"/>
    </xf>
    <xf numFmtId="43" fontId="74" fillId="0" borderId="38" xfId="46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88" xfId="0" applyFont="1" applyBorder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vertical="top" wrapText="1"/>
    </xf>
    <xf numFmtId="0" fontId="73" fillId="0" borderId="0" xfId="0" applyFont="1" applyAlignment="1">
      <alignment vertical="top" wrapText="1"/>
    </xf>
    <xf numFmtId="0" fontId="12" fillId="0" borderId="0" xfId="0" applyFont="1" applyAlignment="1">
      <alignment horizontal="left"/>
    </xf>
    <xf numFmtId="0" fontId="80" fillId="0" borderId="0" xfId="0" applyFont="1" applyAlignment="1">
      <alignment horizontal="center" wrapText="1"/>
    </xf>
    <xf numFmtId="0" fontId="79" fillId="0" borderId="0" xfId="0" applyFont="1" applyAlignment="1">
      <alignment horizontal="center" wrapText="1"/>
    </xf>
    <xf numFmtId="0" fontId="79" fillId="0" borderId="0" xfId="0" applyFont="1" applyAlignment="1">
      <alignment horizontal="center"/>
    </xf>
    <xf numFmtId="41" fontId="4" fillId="0" borderId="43" xfId="0" applyNumberFormat="1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0" fontId="71" fillId="0" borderId="48" xfId="0" applyFont="1" applyBorder="1" applyAlignment="1">
      <alignment horizontal="justify" vertical="center" wrapText="1"/>
    </xf>
    <xf numFmtId="37" fontId="71" fillId="0" borderId="48" xfId="0" applyNumberFormat="1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0" fontId="71" fillId="0" borderId="48" xfId="0" applyFont="1" applyBorder="1" applyAlignment="1">
      <alignment vertical="center" wrapText="1"/>
    </xf>
    <xf numFmtId="0" fontId="74" fillId="0" borderId="48" xfId="0" applyFont="1" applyBorder="1" applyAlignment="1">
      <alignment vertical="center" wrapText="1"/>
    </xf>
    <xf numFmtId="167" fontId="4" fillId="0" borderId="90" xfId="59" applyNumberFormat="1" applyFont="1" applyBorder="1" applyAlignment="1">
      <alignment horizontal="center" vertical="center" wrapText="1"/>
      <protection/>
    </xf>
    <xf numFmtId="167" fontId="4" fillId="0" borderId="91" xfId="59" applyNumberFormat="1" applyFont="1" applyBorder="1" applyAlignment="1">
      <alignment horizontal="center" vertical="center" wrapText="1"/>
      <protection/>
    </xf>
    <xf numFmtId="167" fontId="4" fillId="0" borderId="92" xfId="59" applyNumberFormat="1" applyFont="1" applyBorder="1" applyAlignment="1">
      <alignment horizontal="center" vertical="center" wrapText="1"/>
      <protection/>
    </xf>
    <xf numFmtId="0" fontId="13" fillId="37" borderId="93" xfId="59" applyFont="1" applyFill="1" applyBorder="1" applyAlignment="1">
      <alignment horizontal="center" vertical="center" wrapText="1"/>
      <protection/>
    </xf>
    <xf numFmtId="0" fontId="13" fillId="37" borderId="94" xfId="59" applyFont="1" applyFill="1" applyBorder="1" applyAlignment="1">
      <alignment horizontal="center" vertical="center" wrapText="1"/>
      <protection/>
    </xf>
    <xf numFmtId="0" fontId="13" fillId="37" borderId="95" xfId="59" applyFont="1" applyFill="1" applyBorder="1" applyAlignment="1">
      <alignment horizontal="center" vertical="center" wrapText="1"/>
      <protection/>
    </xf>
    <xf numFmtId="0" fontId="13" fillId="37" borderId="96" xfId="59" applyFont="1" applyFill="1" applyBorder="1" applyAlignment="1">
      <alignment horizontal="center" vertical="center" wrapText="1"/>
      <protection/>
    </xf>
    <xf numFmtId="0" fontId="13" fillId="37" borderId="97" xfId="59" applyFont="1" applyFill="1" applyBorder="1" applyAlignment="1">
      <alignment horizontal="center" vertical="center" wrapText="1"/>
      <protection/>
    </xf>
    <xf numFmtId="0" fontId="13" fillId="37" borderId="98" xfId="59" applyFont="1" applyFill="1" applyBorder="1" applyAlignment="1">
      <alignment horizontal="center" vertical="center" wrapText="1"/>
      <protection/>
    </xf>
    <xf numFmtId="0" fontId="4" fillId="0" borderId="53" xfId="59" applyFont="1" applyBorder="1" applyAlignment="1">
      <alignment horizontal="center" vertical="center" wrapText="1"/>
      <protection/>
    </xf>
    <xf numFmtId="0" fontId="4" fillId="0" borderId="99" xfId="59" applyFont="1" applyBorder="1" applyAlignment="1">
      <alignment horizontal="center" vertical="center" wrapText="1"/>
      <protection/>
    </xf>
    <xf numFmtId="0" fontId="4" fillId="0" borderId="42" xfId="59" applyFont="1" applyBorder="1" applyAlignment="1">
      <alignment horizontal="center" vertical="center" wrapText="1"/>
      <protection/>
    </xf>
    <xf numFmtId="0" fontId="4" fillId="0" borderId="100" xfId="59" applyFont="1" applyBorder="1" applyAlignment="1">
      <alignment horizontal="center" vertical="center" wrapText="1"/>
      <protection/>
    </xf>
    <xf numFmtId="0" fontId="4" fillId="0" borderId="101" xfId="59" applyFont="1" applyBorder="1" applyAlignment="1">
      <alignment horizontal="center" vertical="center" wrapText="1"/>
      <protection/>
    </xf>
    <xf numFmtId="0" fontId="4" fillId="0" borderId="102" xfId="59" applyFont="1" applyBorder="1" applyAlignment="1">
      <alignment horizontal="center" vertical="center" wrapText="1"/>
      <protection/>
    </xf>
    <xf numFmtId="0" fontId="4" fillId="0" borderId="103" xfId="59" applyFont="1" applyBorder="1" applyAlignment="1">
      <alignment horizontal="center"/>
      <protection/>
    </xf>
    <xf numFmtId="3" fontId="4" fillId="0" borderId="96" xfId="59" applyNumberFormat="1" applyFont="1" applyBorder="1" applyAlignment="1">
      <alignment horizontal="center"/>
      <protection/>
    </xf>
    <xf numFmtId="3" fontId="4" fillId="0" borderId="97" xfId="59" applyNumberFormat="1" applyFont="1" applyBorder="1" applyAlignment="1">
      <alignment horizontal="center"/>
      <protection/>
    </xf>
    <xf numFmtId="3" fontId="4" fillId="0" borderId="98" xfId="59" applyNumberFormat="1" applyFont="1" applyBorder="1" applyAlignment="1">
      <alignment horizontal="center"/>
      <protection/>
    </xf>
    <xf numFmtId="0" fontId="6" fillId="0" borderId="104" xfId="59" applyFont="1" applyBorder="1" applyAlignment="1">
      <alignment horizontal="center" vertical="center" wrapText="1"/>
      <protection/>
    </xf>
    <xf numFmtId="0" fontId="6" fillId="0" borderId="105" xfId="59" applyFont="1" applyBorder="1" applyAlignment="1">
      <alignment horizontal="center" vertical="center" wrapText="1"/>
      <protection/>
    </xf>
    <xf numFmtId="0" fontId="6" fillId="0" borderId="106" xfId="59" applyFont="1" applyBorder="1" applyAlignment="1">
      <alignment horizontal="center" vertical="center" wrapText="1"/>
      <protection/>
    </xf>
    <xf numFmtId="0" fontId="4" fillId="0" borderId="41" xfId="59" applyFont="1" applyBorder="1" applyAlignment="1">
      <alignment horizontal="center" vertical="center" wrapText="1"/>
      <protection/>
    </xf>
    <xf numFmtId="0" fontId="4" fillId="0" borderId="55" xfId="59" applyFont="1" applyBorder="1" applyAlignment="1">
      <alignment horizontal="center" vertical="center" wrapText="1"/>
      <protection/>
    </xf>
    <xf numFmtId="167" fontId="6" fillId="0" borderId="42" xfId="59" applyNumberFormat="1" applyFont="1" applyBorder="1" applyAlignment="1">
      <alignment horizontal="center" vertical="center" wrapText="1"/>
      <protection/>
    </xf>
    <xf numFmtId="167" fontId="6" fillId="0" borderId="100" xfId="59" applyNumberFormat="1" applyFont="1" applyBorder="1" applyAlignment="1">
      <alignment horizontal="center" vertical="center" wrapText="1"/>
      <protection/>
    </xf>
    <xf numFmtId="167" fontId="6" fillId="0" borderId="101" xfId="59" applyNumberFormat="1" applyFont="1" applyBorder="1" applyAlignment="1">
      <alignment horizontal="center" vertical="center" wrapText="1"/>
      <protection/>
    </xf>
    <xf numFmtId="167" fontId="6" fillId="0" borderId="102" xfId="59" applyNumberFormat="1" applyFont="1" applyBorder="1" applyAlignment="1">
      <alignment horizontal="center" vertical="center" wrapText="1"/>
      <protection/>
    </xf>
    <xf numFmtId="167" fontId="4" fillId="0" borderId="90" xfId="59" applyNumberFormat="1" applyFont="1" applyBorder="1" applyAlignment="1">
      <alignment horizontal="center" vertical="center"/>
      <protection/>
    </xf>
    <xf numFmtId="0" fontId="4" fillId="0" borderId="91" xfId="59" applyFont="1" applyBorder="1" applyAlignment="1">
      <alignment horizontal="center" vertical="center"/>
      <protection/>
    </xf>
    <xf numFmtId="0" fontId="4" fillId="0" borderId="107" xfId="59" applyFont="1" applyBorder="1" applyAlignment="1">
      <alignment horizontal="center" vertical="center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_12dmelléklet" xfId="58"/>
    <cellStyle name="Normál_melléklet (11)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EG&#201;DT&#193;BL&#193;K%20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&#214;LTS&#201;GVET&#201;S%20TERVEZET%202021\2021.%20&#233;v\Seg&#233;dt&#225;bl&#225;k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93;GICA.&#193;GICA-DELL\Downloads\SEG&#201;DT&#193;BL&#193;K%202022_megjegyz&#233;sekkel%200120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93;GICA.&#193;GICA-DELL\Downloads\SEG&#201;DT&#193;BL&#193;K%202022_megjegyz&#233;sekkel%200127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93;GICA.&#193;GICA-DELL\Downloads\SEG&#201;DT&#193;BL&#193;K%202022_megjegyz&#233;sekkel%20013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SEG&#201;DT&#193;BL&#193;K%202022_megjegyz&#233;sekkel%200201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926b6d7aa5354de0/Dokumentumok/SEG&#201;DT&#193;BL&#193;K%202022_megjegyz&#233;sekkel%200203b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93;GICA.&#193;GICA-DELL\Downloads\SEG&#201;DT&#193;BL&#193;K%202022_megjegyz&#233;sekkel%200203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SEG&#201;DT&#193;BL&#193;K%202022_megjegyz&#233;sekkel%200203caf200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.Önk."/>
      <sheetName val="Bev.Hiv."/>
      <sheetName val="Bev.Óvoda"/>
      <sheetName val="Önk."/>
      <sheetName val="Bev.Könyv."/>
      <sheetName val="Szoc."/>
      <sheetName val="Támogatás"/>
      <sheetName val="Beruházás"/>
      <sheetName val="Hiv."/>
      <sheetName val="Ovi"/>
      <sheetName val="Könyvtár"/>
      <sheetName val="Összesítő"/>
      <sheetName val="Mérleg"/>
      <sheetName val="Tervezett"/>
      <sheetName val="Közvetett támogatások"/>
      <sheetName val="Felh."/>
      <sheetName val="Több éves kihatás"/>
      <sheetName val="Köt.önk.váll."/>
      <sheetName val="Adósság"/>
      <sheetName val="EU"/>
    </sheetNames>
    <sheetDataSet>
      <sheetData sheetId="0">
        <row r="88">
          <cell r="F88">
            <v>3687509</v>
          </cell>
        </row>
        <row r="89">
          <cell r="F89">
            <v>1000000</v>
          </cell>
        </row>
        <row r="95">
          <cell r="F95">
            <v>45000000</v>
          </cell>
        </row>
      </sheetData>
      <sheetData sheetId="6">
        <row r="52">
          <cell r="D52">
            <v>6000000</v>
          </cell>
        </row>
      </sheetData>
      <sheetData sheetId="10">
        <row r="44">
          <cell r="I44">
            <v>264000</v>
          </cell>
        </row>
        <row r="45">
          <cell r="I45">
            <v>10000</v>
          </cell>
        </row>
        <row r="46">
          <cell r="I46">
            <v>36000</v>
          </cell>
        </row>
        <row r="47">
          <cell r="I47">
            <v>10000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.Önk."/>
      <sheetName val="Bev.Hiv."/>
      <sheetName val="Bev.Óvoda"/>
      <sheetName val="Bev.Könyv."/>
      <sheetName val="Önk."/>
      <sheetName val="Szoc."/>
      <sheetName val="Támogatás"/>
      <sheetName val="Beruházás"/>
      <sheetName val="Hiv."/>
      <sheetName val="Ovi"/>
      <sheetName val="Könyvtár"/>
      <sheetName val="Összesítő"/>
      <sheetName val="Mérleg"/>
      <sheetName val="Tervezett"/>
      <sheetName val="Közvetett támogatások"/>
      <sheetName val="Felh."/>
      <sheetName val="Több éves kihatás"/>
      <sheetName val="Köt.önk.váll."/>
      <sheetName val="Adósság"/>
      <sheetName val="EU"/>
    </sheetNames>
    <sheetDataSet>
      <sheetData sheetId="0">
        <row r="96">
          <cell r="F9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.Önk."/>
      <sheetName val="Bev.Hiv."/>
      <sheetName val="Bev.Óvoda"/>
      <sheetName val="Bev.Bölcsi"/>
      <sheetName val="Bev.Könyv."/>
      <sheetName val="Önk.j"/>
      <sheetName val="Szoc."/>
      <sheetName val="Támogatás"/>
      <sheetName val="Beruházás"/>
      <sheetName val="Hiv."/>
      <sheetName val="Ovi"/>
      <sheetName val="Bölcsi"/>
      <sheetName val="Könyvtár"/>
    </sheetNames>
    <sheetDataSet>
      <sheetData sheetId="2">
        <row r="39">
          <cell r="E39">
            <v>14656003.937007874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.Önk."/>
      <sheetName val="Bev.Hiv."/>
      <sheetName val="Bev.Óvoda"/>
      <sheetName val="Bev.Bölcsi"/>
      <sheetName val="Bev.Könyv."/>
      <sheetName val="Önk.j"/>
      <sheetName val="Szoc."/>
      <sheetName val="Támogatás"/>
      <sheetName val="Beruházás"/>
      <sheetName val="Hiv."/>
      <sheetName val="SZLK"/>
      <sheetName val="Ovi"/>
      <sheetName val="Bölcsi"/>
      <sheetName val="Könyvtár"/>
      <sheetName val="Munka1"/>
    </sheetNames>
    <sheetDataSet>
      <sheetData sheetId="0">
        <row r="29">
          <cell r="E29">
            <v>13000000</v>
          </cell>
        </row>
        <row r="87">
          <cell r="F87">
            <v>600000</v>
          </cell>
        </row>
        <row r="96">
          <cell r="F96">
            <v>45000000</v>
          </cell>
        </row>
        <row r="102">
          <cell r="F102">
            <v>15500000</v>
          </cell>
        </row>
        <row r="103">
          <cell r="F103">
            <v>1000000</v>
          </cell>
        </row>
        <row r="104">
          <cell r="F104">
            <v>1804074.377577803</v>
          </cell>
        </row>
        <row r="105">
          <cell r="F105">
            <v>3102000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v.Önk."/>
      <sheetName val="Bev.Hiv."/>
      <sheetName val="Bev.Óvoda"/>
      <sheetName val="Bev.Bölcsi"/>
      <sheetName val="Bev.Könyv."/>
      <sheetName val="Önk.j"/>
      <sheetName val="Szoc."/>
      <sheetName val="Támogatás"/>
      <sheetName val="Beruházás"/>
      <sheetName val="Hiv."/>
      <sheetName val="SZLK"/>
      <sheetName val="Ovi"/>
      <sheetName val="Bölcsi"/>
      <sheetName val="Könyvtár"/>
    </sheetNames>
    <sheetDataSet>
      <sheetData sheetId="11">
        <row r="87">
          <cell r="I87">
            <v>300000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v.Önk."/>
      <sheetName val="Bev.Hiv."/>
      <sheetName val="Bev.Óvoda"/>
      <sheetName val="Bev.Bölcsi"/>
      <sheetName val="Bev.Könyv."/>
      <sheetName val="Önk.j"/>
      <sheetName val="Szoc."/>
      <sheetName val="Támogatás"/>
      <sheetName val="Beruházás"/>
      <sheetName val="Hiv."/>
      <sheetName val="SZLK"/>
      <sheetName val="Ovi"/>
      <sheetName val="Bölcsi"/>
      <sheetName val="Könyvtár"/>
    </sheetNames>
    <sheetDataSet>
      <sheetData sheetId="5">
        <row r="213">
          <cell r="F213">
            <v>75091430</v>
          </cell>
        </row>
        <row r="214">
          <cell r="F214">
            <v>1080000</v>
          </cell>
        </row>
        <row r="215">
          <cell r="F215">
            <v>105000</v>
          </cell>
        </row>
        <row r="216">
          <cell r="F216">
            <v>0</v>
          </cell>
        </row>
        <row r="218">
          <cell r="F218">
            <v>932000</v>
          </cell>
        </row>
        <row r="219">
          <cell r="F219">
            <v>400000</v>
          </cell>
        </row>
        <row r="221">
          <cell r="F221">
            <v>220000</v>
          </cell>
        </row>
        <row r="223">
          <cell r="F223">
            <v>860000</v>
          </cell>
        </row>
        <row r="224">
          <cell r="F224">
            <v>926000</v>
          </cell>
        </row>
        <row r="225">
          <cell r="F225">
            <v>19870000</v>
          </cell>
        </row>
        <row r="226">
          <cell r="F226">
            <v>1050000</v>
          </cell>
        </row>
        <row r="228">
          <cell r="F228">
            <v>22568488</v>
          </cell>
        </row>
        <row r="229">
          <cell r="F229">
            <v>17081437</v>
          </cell>
        </row>
        <row r="233">
          <cell r="F233">
            <v>1044278</v>
          </cell>
        </row>
        <row r="234">
          <cell r="F234">
            <v>1200000</v>
          </cell>
        </row>
        <row r="235">
          <cell r="F235">
            <v>990000</v>
          </cell>
        </row>
      </sheetData>
      <sheetData sheetId="9">
        <row r="85">
          <cell r="I85">
            <v>407500</v>
          </cell>
        </row>
        <row r="88">
          <cell r="I88">
            <v>0</v>
          </cell>
        </row>
        <row r="89">
          <cell r="I89">
            <v>1234620</v>
          </cell>
        </row>
        <row r="90">
          <cell r="I90">
            <v>1000000</v>
          </cell>
        </row>
        <row r="91">
          <cell r="I91">
            <v>864000</v>
          </cell>
        </row>
        <row r="92">
          <cell r="I92">
            <v>50000</v>
          </cell>
        </row>
        <row r="103">
          <cell r="I103">
            <v>4947000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v.Önk."/>
      <sheetName val="Bev.Hiv."/>
      <sheetName val="Hiv."/>
      <sheetName val="SZLK"/>
      <sheetName val="Bev.Óvoda"/>
      <sheetName val="Bev.Bölcsi"/>
      <sheetName val="Bev.Könyv."/>
      <sheetName val="Önk.j"/>
      <sheetName val="Beruházás"/>
      <sheetName val="Szoc."/>
      <sheetName val="Támogatás"/>
      <sheetName val="Ovi"/>
      <sheetName val="Bölcsi"/>
      <sheetName val="Könyvtár"/>
    </sheetNames>
    <sheetDataSet>
      <sheetData sheetId="2">
        <row r="84">
          <cell r="I84">
            <v>105267608</v>
          </cell>
        </row>
        <row r="87">
          <cell r="I87">
            <v>3505525</v>
          </cell>
        </row>
        <row r="93">
          <cell r="I93">
            <v>15688217.540000001</v>
          </cell>
        </row>
        <row r="94">
          <cell r="I94">
            <v>400000</v>
          </cell>
        </row>
        <row r="95">
          <cell r="I95">
            <v>1650000</v>
          </cell>
        </row>
        <row r="96">
          <cell r="I96">
            <v>700000</v>
          </cell>
        </row>
        <row r="97">
          <cell r="I97">
            <v>450000</v>
          </cell>
        </row>
        <row r="98">
          <cell r="I98">
            <v>2000000</v>
          </cell>
        </row>
        <row r="99">
          <cell r="I99">
            <v>2000000</v>
          </cell>
        </row>
        <row r="100">
          <cell r="I100">
            <v>800000</v>
          </cell>
        </row>
        <row r="101">
          <cell r="I101">
            <v>200000</v>
          </cell>
        </row>
        <row r="102">
          <cell r="I102">
            <v>1675000</v>
          </cell>
        </row>
        <row r="104">
          <cell r="I104">
            <v>1000000</v>
          </cell>
        </row>
        <row r="105">
          <cell r="I105">
            <v>400000</v>
          </cell>
        </row>
        <row r="106">
          <cell r="I106">
            <v>378000</v>
          </cell>
        </row>
      </sheetData>
      <sheetData sheetId="3">
        <row r="17">
          <cell r="R17">
            <v>32479100</v>
          </cell>
        </row>
        <row r="18">
          <cell r="R18">
            <v>405000</v>
          </cell>
        </row>
        <row r="20">
          <cell r="R20">
            <v>1126025</v>
          </cell>
        </row>
        <row r="21">
          <cell r="R21">
            <v>341620</v>
          </cell>
        </row>
        <row r="22">
          <cell r="R22">
            <v>4254496.5</v>
          </cell>
        </row>
      </sheetData>
      <sheetData sheetId="4">
        <row r="40">
          <cell r="E40">
            <v>14585386.61417323</v>
          </cell>
        </row>
      </sheetData>
      <sheetData sheetId="7">
        <row r="217">
          <cell r="F217">
            <v>23378060.5</v>
          </cell>
        </row>
        <row r="220">
          <cell r="F220">
            <v>12141818.080000002</v>
          </cell>
        </row>
        <row r="227">
          <cell r="F227">
            <v>16975000</v>
          </cell>
        </row>
      </sheetData>
      <sheetData sheetId="11">
        <row r="77">
          <cell r="I77">
            <v>5963224</v>
          </cell>
        </row>
        <row r="79">
          <cell r="I79">
            <v>0</v>
          </cell>
        </row>
        <row r="81">
          <cell r="I81">
            <v>0</v>
          </cell>
        </row>
        <row r="88">
          <cell r="I88">
            <v>6300000</v>
          </cell>
        </row>
        <row r="90">
          <cell r="I90">
            <v>4611760</v>
          </cell>
        </row>
        <row r="92">
          <cell r="I92">
            <v>28500</v>
          </cell>
        </row>
        <row r="98">
          <cell r="I98">
            <v>6784000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ev.Önk."/>
      <sheetName val="Bev.Hiv."/>
      <sheetName val="Hiv."/>
      <sheetName val="Bev.Óvoda"/>
      <sheetName val="Bev.Bölcsi"/>
      <sheetName val="Bev.Könyv."/>
      <sheetName val="Önk.j"/>
      <sheetName val="Szoc."/>
      <sheetName val="Támogatás"/>
      <sheetName val="Beruházás"/>
      <sheetName val="SZLK"/>
      <sheetName val="Ovi"/>
      <sheetName val="Bölcsi"/>
      <sheetName val="Könyvtár"/>
      <sheetName val="#HIV"/>
    </sheetNames>
    <sheetDataSet>
      <sheetData sheetId="9">
        <row r="39">
          <cell r="N39">
            <v>64147956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ev.Önk."/>
      <sheetName val="Bev.Hiv."/>
      <sheetName val="Hiv."/>
      <sheetName val="SZLK"/>
      <sheetName val="Bev.Óvoda"/>
      <sheetName val="Bev.Bölcsi"/>
      <sheetName val="Bev.Könyv."/>
      <sheetName val="Önk.j"/>
      <sheetName val="Beruházás"/>
      <sheetName val="Szoc."/>
      <sheetName val="Támogatás"/>
      <sheetName val="Ovi"/>
      <sheetName val="Bölcsi"/>
      <sheetName val="Könyvtár"/>
    </sheetNames>
    <sheetDataSet>
      <sheetData sheetId="2">
        <row r="72">
          <cell r="Q72">
            <v>5515980</v>
          </cell>
        </row>
      </sheetData>
      <sheetData sheetId="3">
        <row r="50">
          <cell r="C50">
            <v>7175722.5</v>
          </cell>
        </row>
      </sheetData>
      <sheetData sheetId="8">
        <row r="48">
          <cell r="E48">
            <v>55670636</v>
          </cell>
        </row>
        <row r="49">
          <cell r="E49">
            <v>23838202.913385827</v>
          </cell>
        </row>
        <row r="50">
          <cell r="E50">
            <v>48631206.50661418</v>
          </cell>
        </row>
        <row r="51">
          <cell r="E51">
            <v>22654766.320584927</v>
          </cell>
        </row>
        <row r="52">
          <cell r="E52">
            <v>5981786.906557931</v>
          </cell>
        </row>
      </sheetData>
      <sheetData sheetId="11">
        <row r="94">
          <cell r="I94">
            <v>322834.6456692913</v>
          </cell>
        </row>
        <row r="96">
          <cell r="I96">
            <v>3430078.7401574804</v>
          </cell>
        </row>
        <row r="97">
          <cell r="I97">
            <v>1013286.6141732284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2" max="2" width="36.57421875" style="0" customWidth="1"/>
    <col min="6" max="6" width="9.421875" style="0" customWidth="1"/>
    <col min="7" max="7" width="15.8515625" style="382" bestFit="1" customWidth="1"/>
    <col min="8" max="8" width="10.8515625" style="382" bestFit="1" customWidth="1"/>
    <col min="9" max="9" width="10.140625" style="382" bestFit="1" customWidth="1"/>
    <col min="10" max="10" width="9.140625" style="382" customWidth="1"/>
    <col min="12" max="12" width="10.8515625" style="0" bestFit="1" customWidth="1"/>
  </cols>
  <sheetData>
    <row r="1" spans="1:10" ht="15">
      <c r="A1" s="491" t="s">
        <v>434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ht="15">
      <c r="A2" s="1"/>
      <c r="B2" s="1"/>
      <c r="C2" s="1"/>
      <c r="D2" s="1"/>
      <c r="E2" s="1"/>
      <c r="F2" s="1"/>
      <c r="G2" s="331"/>
      <c r="H2" s="332"/>
      <c r="I2" s="332"/>
      <c r="J2" s="332"/>
    </row>
    <row r="3" spans="1:10" ht="15.75">
      <c r="A3" s="492" t="s">
        <v>1</v>
      </c>
      <c r="B3" s="492"/>
      <c r="C3" s="492"/>
      <c r="D3" s="492"/>
      <c r="E3" s="492"/>
      <c r="F3" s="492"/>
      <c r="G3" s="492"/>
      <c r="H3" s="332"/>
      <c r="I3" s="332"/>
      <c r="J3" s="332"/>
    </row>
    <row r="4" spans="1:10" ht="15.75">
      <c r="A4" s="493" t="s">
        <v>433</v>
      </c>
      <c r="B4" s="494"/>
      <c r="C4" s="494"/>
      <c r="D4" s="494"/>
      <c r="E4" s="494"/>
      <c r="F4" s="494"/>
      <c r="G4" s="494"/>
      <c r="H4" s="332"/>
      <c r="I4" s="332"/>
      <c r="J4" s="332"/>
    </row>
    <row r="5" spans="1:10" ht="15">
      <c r="A5" s="495" t="s">
        <v>3</v>
      </c>
      <c r="B5" s="496" t="s">
        <v>4</v>
      </c>
      <c r="C5" s="497" t="s">
        <v>5</v>
      </c>
      <c r="D5" s="497"/>
      <c r="E5" s="497"/>
      <c r="F5" s="497"/>
      <c r="G5" s="498" t="s">
        <v>144</v>
      </c>
      <c r="H5" s="499" t="s">
        <v>7</v>
      </c>
      <c r="I5" s="500"/>
      <c r="J5" s="501"/>
    </row>
    <row r="6" spans="1:10" ht="38.25">
      <c r="A6" s="495"/>
      <c r="B6" s="496"/>
      <c r="C6" s="497"/>
      <c r="D6" s="497"/>
      <c r="E6" s="497"/>
      <c r="F6" s="497"/>
      <c r="G6" s="498"/>
      <c r="H6" s="4" t="s">
        <v>8</v>
      </c>
      <c r="I6" s="4" t="s">
        <v>9</v>
      </c>
      <c r="J6" s="4" t="s">
        <v>10</v>
      </c>
    </row>
    <row r="7" spans="1:10" ht="25.5">
      <c r="A7" s="5" t="s">
        <v>11</v>
      </c>
      <c r="B7" s="6" t="s">
        <v>156</v>
      </c>
      <c r="C7" s="502" t="s">
        <v>157</v>
      </c>
      <c r="D7" s="502"/>
      <c r="E7" s="502"/>
      <c r="F7" s="502"/>
      <c r="G7" s="20">
        <f>203690341+1036753+2720125</f>
        <v>207447219</v>
      </c>
      <c r="H7" s="20">
        <f>G7</f>
        <v>207447219</v>
      </c>
      <c r="I7" s="198"/>
      <c r="J7" s="198"/>
    </row>
    <row r="8" spans="1:10" ht="25.5">
      <c r="A8" s="5" t="s">
        <v>14</v>
      </c>
      <c r="B8" s="10" t="s">
        <v>158</v>
      </c>
      <c r="C8" s="502" t="s">
        <v>159</v>
      </c>
      <c r="D8" s="502"/>
      <c r="E8" s="502"/>
      <c r="F8" s="502"/>
      <c r="G8" s="20">
        <f>126082200+3300000+5940720+214140+5390000</f>
        <v>140927060</v>
      </c>
      <c r="H8" s="20">
        <f aca="true" t="shared" si="0" ref="H8:H13">G8</f>
        <v>140927060</v>
      </c>
      <c r="I8" s="198"/>
      <c r="J8" s="198"/>
    </row>
    <row r="9" spans="1:10" ht="38.25">
      <c r="A9" s="5" t="s">
        <v>17</v>
      </c>
      <c r="B9" s="10" t="s">
        <v>160</v>
      </c>
      <c r="C9" s="502" t="s">
        <v>161</v>
      </c>
      <c r="D9" s="502"/>
      <c r="E9" s="502"/>
      <c r="F9" s="502"/>
      <c r="G9" s="20">
        <f>30945273+6002416+5812900+1178100+312000+492000+5515980</f>
        <v>50258669</v>
      </c>
      <c r="H9" s="20">
        <v>0</v>
      </c>
      <c r="I9" s="198"/>
      <c r="J9" s="198"/>
    </row>
    <row r="10" spans="1:10" ht="38.25">
      <c r="A10" s="5" t="s">
        <v>20</v>
      </c>
      <c r="B10" s="10" t="s">
        <v>162</v>
      </c>
      <c r="C10" s="503" t="s">
        <v>163</v>
      </c>
      <c r="D10" s="504"/>
      <c r="E10" s="504"/>
      <c r="F10" s="505"/>
      <c r="G10" s="20">
        <f>42947075+786600+1983744</f>
        <v>45717419</v>
      </c>
      <c r="H10" s="20">
        <v>0</v>
      </c>
      <c r="I10" s="198"/>
      <c r="J10" s="198"/>
    </row>
    <row r="11" spans="1:10" ht="38.25">
      <c r="A11" s="5" t="s">
        <v>23</v>
      </c>
      <c r="B11" s="10" t="s">
        <v>164</v>
      </c>
      <c r="C11" s="503" t="s">
        <v>165</v>
      </c>
      <c r="D11" s="504"/>
      <c r="E11" s="504"/>
      <c r="F11" s="505"/>
      <c r="G11" s="20"/>
      <c r="H11" s="20">
        <f>G9+G10</f>
        <v>95976088</v>
      </c>
      <c r="I11" s="198"/>
      <c r="J11" s="198"/>
    </row>
    <row r="12" spans="1:10" ht="25.5">
      <c r="A12" s="5" t="s">
        <v>26</v>
      </c>
      <c r="B12" s="10" t="s">
        <v>166</v>
      </c>
      <c r="C12" s="502" t="s">
        <v>167</v>
      </c>
      <c r="D12" s="502"/>
      <c r="E12" s="502"/>
      <c r="F12" s="502"/>
      <c r="G12" s="20">
        <f>11157946</f>
        <v>11157946</v>
      </c>
      <c r="H12" s="20">
        <f t="shared" si="0"/>
        <v>11157946</v>
      </c>
      <c r="I12" s="198"/>
      <c r="J12" s="198"/>
    </row>
    <row r="13" spans="1:10" ht="38.25">
      <c r="A13" s="5" t="s">
        <v>29</v>
      </c>
      <c r="B13" s="409" t="s">
        <v>436</v>
      </c>
      <c r="C13" s="502" t="s">
        <v>435</v>
      </c>
      <c r="D13" s="502"/>
      <c r="E13" s="502"/>
      <c r="F13" s="502"/>
      <c r="G13" s="20">
        <f>'önkorm.bev'!G13</f>
        <v>15000000</v>
      </c>
      <c r="H13" s="20">
        <f t="shared" si="0"/>
        <v>15000000</v>
      </c>
      <c r="I13" s="198"/>
      <c r="J13" s="198"/>
    </row>
    <row r="14" spans="1:10" ht="25.5">
      <c r="A14" s="5" t="s">
        <v>32</v>
      </c>
      <c r="B14" s="10" t="s">
        <v>170</v>
      </c>
      <c r="C14" s="502" t="s">
        <v>171</v>
      </c>
      <c r="D14" s="502"/>
      <c r="E14" s="502"/>
      <c r="F14" s="502"/>
      <c r="G14" s="20">
        <f>'önkorm.bev'!G14</f>
        <v>76716320.5</v>
      </c>
      <c r="H14" s="20">
        <f>G14</f>
        <v>76716320.5</v>
      </c>
      <c r="I14" s="198"/>
      <c r="J14" s="198"/>
    </row>
    <row r="15" spans="1:10" ht="25.5">
      <c r="A15" s="13" t="s">
        <v>35</v>
      </c>
      <c r="B15" s="14" t="s">
        <v>172</v>
      </c>
      <c r="C15" s="506" t="s">
        <v>173</v>
      </c>
      <c r="D15" s="506"/>
      <c r="E15" s="506"/>
      <c r="F15" s="506"/>
      <c r="G15" s="18">
        <f>SUM(G7:G14)</f>
        <v>547224633.5</v>
      </c>
      <c r="H15" s="18">
        <f>SUM(H7:H14)</f>
        <v>547224633.5</v>
      </c>
      <c r="I15" s="18">
        <f>SUM(I7:I14)</f>
        <v>0</v>
      </c>
      <c r="J15" s="18">
        <f>SUM(J7:J14)</f>
        <v>0</v>
      </c>
    </row>
    <row r="16" spans="1:10" ht="25.5">
      <c r="A16" s="5" t="s">
        <v>38</v>
      </c>
      <c r="B16" s="10" t="s">
        <v>174</v>
      </c>
      <c r="C16" s="502" t="s">
        <v>175</v>
      </c>
      <c r="D16" s="502"/>
      <c r="E16" s="502"/>
      <c r="F16" s="502"/>
      <c r="G16" s="20">
        <v>11328185</v>
      </c>
      <c r="H16" s="20">
        <v>11328185</v>
      </c>
      <c r="I16" s="333"/>
      <c r="J16" s="333"/>
    </row>
    <row r="17" spans="1:10" ht="25.5">
      <c r="A17" s="13" t="s">
        <v>41</v>
      </c>
      <c r="B17" s="14" t="s">
        <v>176</v>
      </c>
      <c r="C17" s="506" t="s">
        <v>177</v>
      </c>
      <c r="D17" s="506"/>
      <c r="E17" s="506"/>
      <c r="F17" s="506"/>
      <c r="G17" s="18">
        <f>G16</f>
        <v>11328185</v>
      </c>
      <c r="H17" s="18">
        <f>H16</f>
        <v>11328185</v>
      </c>
      <c r="I17" s="18">
        <f>I16</f>
        <v>0</v>
      </c>
      <c r="J17" s="18">
        <f>J16</f>
        <v>0</v>
      </c>
    </row>
    <row r="18" spans="1:10" ht="15">
      <c r="A18" s="5" t="s">
        <v>44</v>
      </c>
      <c r="B18" s="10" t="s">
        <v>178</v>
      </c>
      <c r="C18" s="502" t="s">
        <v>179</v>
      </c>
      <c r="D18" s="502"/>
      <c r="E18" s="502"/>
      <c r="F18" s="502"/>
      <c r="G18" s="20">
        <v>13000000</v>
      </c>
      <c r="H18" s="337">
        <f>G18</f>
        <v>13000000</v>
      </c>
      <c r="I18" s="198"/>
      <c r="J18" s="198"/>
    </row>
    <row r="19" spans="1:10" ht="15">
      <c r="A19" s="5" t="s">
        <v>47</v>
      </c>
      <c r="B19" s="10" t="s">
        <v>180</v>
      </c>
      <c r="C19" s="502" t="s">
        <v>181</v>
      </c>
      <c r="D19" s="502"/>
      <c r="E19" s="502"/>
      <c r="F19" s="502"/>
      <c r="G19" s="20">
        <f>'[1]Bev.Önk.'!$F$95</f>
        <v>45000000</v>
      </c>
      <c r="H19" s="337">
        <f>G19</f>
        <v>45000000</v>
      </c>
      <c r="I19" s="198"/>
      <c r="J19" s="198"/>
    </row>
    <row r="20" spans="1:10" ht="15">
      <c r="A20" s="5" t="s">
        <v>50</v>
      </c>
      <c r="B20" s="10" t="s">
        <v>182</v>
      </c>
      <c r="C20" s="502" t="s">
        <v>183</v>
      </c>
      <c r="D20" s="502"/>
      <c r="E20" s="502"/>
      <c r="F20" s="502"/>
      <c r="G20" s="20">
        <f>'[2]Bev.Önk.'!$F$96</f>
        <v>0</v>
      </c>
      <c r="H20" s="337">
        <f>G20</f>
        <v>0</v>
      </c>
      <c r="I20" s="198"/>
      <c r="J20" s="198"/>
    </row>
    <row r="21" spans="1:10" ht="15">
      <c r="A21" s="5" t="s">
        <v>53</v>
      </c>
      <c r="B21" s="10" t="s">
        <v>184</v>
      </c>
      <c r="C21" s="502" t="s">
        <v>185</v>
      </c>
      <c r="D21" s="502"/>
      <c r="E21" s="502"/>
      <c r="F21" s="502"/>
      <c r="G21" s="20">
        <v>600000</v>
      </c>
      <c r="H21" s="337">
        <f>G21</f>
        <v>600000</v>
      </c>
      <c r="I21" s="198"/>
      <c r="J21" s="198"/>
    </row>
    <row r="22" spans="1:10" ht="15">
      <c r="A22" s="13" t="s">
        <v>56</v>
      </c>
      <c r="B22" s="14" t="s">
        <v>186</v>
      </c>
      <c r="C22" s="506" t="s">
        <v>187</v>
      </c>
      <c r="D22" s="506"/>
      <c r="E22" s="506"/>
      <c r="F22" s="506"/>
      <c r="G22" s="18">
        <f>SUM(G18:G21)</f>
        <v>58600000</v>
      </c>
      <c r="H22" s="18">
        <f>SUM(H18:H21)</f>
        <v>58600000</v>
      </c>
      <c r="I22" s="18">
        <f>SUM(I18:I21)</f>
        <v>0</v>
      </c>
      <c r="J22" s="18">
        <f>SUM(J18:J21)</f>
        <v>0</v>
      </c>
    </row>
    <row r="23" spans="1:12" ht="15">
      <c r="A23" s="5" t="s">
        <v>59</v>
      </c>
      <c r="B23" s="19" t="s">
        <v>188</v>
      </c>
      <c r="C23" s="502" t="s">
        <v>189</v>
      </c>
      <c r="D23" s="502"/>
      <c r="E23" s="502"/>
      <c r="F23" s="502"/>
      <c r="G23" s="20">
        <f>'önkorm.bev'!G23+'Hivatal bevétel'!G23+'Óvoda bev.'!G23+'Könyvtár bev.'!G23</f>
        <v>6000000</v>
      </c>
      <c r="H23" s="198"/>
      <c r="I23" s="337">
        <f aca="true" t="shared" si="1" ref="I23:I28">G23</f>
        <v>6000000</v>
      </c>
      <c r="J23" s="198"/>
      <c r="L23" s="61"/>
    </row>
    <row r="24" spans="1:12" ht="15">
      <c r="A24" s="5" t="s">
        <v>62</v>
      </c>
      <c r="B24" s="19" t="s">
        <v>190</v>
      </c>
      <c r="C24" s="502" t="s">
        <v>191</v>
      </c>
      <c r="D24" s="502"/>
      <c r="E24" s="502"/>
      <c r="F24" s="502"/>
      <c r="G24" s="20">
        <f>'önkorm.bev'!G24+'Hivatal bevétel'!G24+'Óvoda bev.'!G24+'Könyvtár bev.'!G24</f>
        <v>15631593.937007874</v>
      </c>
      <c r="H24" s="198"/>
      <c r="I24" s="337">
        <f t="shared" si="1"/>
        <v>15631593.937007874</v>
      </c>
      <c r="J24" s="198"/>
      <c r="L24" s="61"/>
    </row>
    <row r="25" spans="1:12" ht="15">
      <c r="A25" s="5" t="s">
        <v>65</v>
      </c>
      <c r="B25" s="19" t="s">
        <v>192</v>
      </c>
      <c r="C25" s="502" t="s">
        <v>193</v>
      </c>
      <c r="D25" s="502"/>
      <c r="E25" s="502"/>
      <c r="F25" s="502"/>
      <c r="G25" s="20">
        <f>'önkorm.bev'!G25+'Hivatal bevétel'!G25+'Óvoda bev.'!G25+'Könyvtár bev.'!G25</f>
        <v>2000000</v>
      </c>
      <c r="H25" s="198"/>
      <c r="I25" s="337">
        <f t="shared" si="1"/>
        <v>2000000</v>
      </c>
      <c r="J25" s="198"/>
      <c r="L25" s="61"/>
    </row>
    <row r="26" spans="1:12" ht="15">
      <c r="A26" s="5" t="s">
        <v>68</v>
      </c>
      <c r="B26" s="19" t="s">
        <v>194</v>
      </c>
      <c r="C26" s="502" t="s">
        <v>195</v>
      </c>
      <c r="D26" s="502"/>
      <c r="E26" s="502"/>
      <c r="F26" s="502"/>
      <c r="G26" s="20">
        <f>'önkorm.bev'!G26+'Hivatal bevétel'!G26+'Óvoda bev.'!G26+'Könyvtár bev.'!G26</f>
        <v>15500000</v>
      </c>
      <c r="H26" s="198"/>
      <c r="I26" s="337">
        <f t="shared" si="1"/>
        <v>15500000</v>
      </c>
      <c r="J26" s="198"/>
      <c r="L26" s="61"/>
    </row>
    <row r="27" spans="1:12" ht="15">
      <c r="A27" s="5" t="s">
        <v>71</v>
      </c>
      <c r="B27" s="19" t="s">
        <v>196</v>
      </c>
      <c r="C27" s="502" t="s">
        <v>197</v>
      </c>
      <c r="D27" s="502"/>
      <c r="E27" s="502"/>
      <c r="F27" s="502"/>
      <c r="G27" s="20">
        <f>'önkorm.bev'!G27+'Hivatal bevétel'!G27+'Óvoda bev.'!G27+'Könyvtár bev.'!G27</f>
        <v>15585386.61417323</v>
      </c>
      <c r="H27" s="198"/>
      <c r="I27" s="337">
        <f t="shared" si="1"/>
        <v>15585386.61417323</v>
      </c>
      <c r="J27" s="198"/>
      <c r="L27" s="61"/>
    </row>
    <row r="28" spans="1:12" ht="15">
      <c r="A28" s="5" t="s">
        <v>74</v>
      </c>
      <c r="B28" s="19" t="s">
        <v>198</v>
      </c>
      <c r="C28" s="502" t="s">
        <v>199</v>
      </c>
      <c r="D28" s="502"/>
      <c r="E28" s="502"/>
      <c r="F28" s="502"/>
      <c r="G28" s="20">
        <f>'önkorm.bev'!G28+'Hivatal bevétel'!G28+'Óvoda bev.'!G28+'Könyvtár bev.'!G28</f>
        <v>9773660.126396703</v>
      </c>
      <c r="H28" s="198"/>
      <c r="I28" s="337">
        <f t="shared" si="1"/>
        <v>9773660.126396703</v>
      </c>
      <c r="J28" s="198"/>
      <c r="L28" s="61"/>
    </row>
    <row r="29" spans="1:12" ht="15">
      <c r="A29" s="13" t="s">
        <v>77</v>
      </c>
      <c r="B29" s="41" t="s">
        <v>200</v>
      </c>
      <c r="C29" s="506" t="s">
        <v>201</v>
      </c>
      <c r="D29" s="506"/>
      <c r="E29" s="506"/>
      <c r="F29" s="506"/>
      <c r="G29" s="18">
        <f>SUM(G23:G28)</f>
        <v>64490640.67757781</v>
      </c>
      <c r="H29" s="18">
        <f>SUM(H23:H28)</f>
        <v>0</v>
      </c>
      <c r="I29" s="18">
        <f>SUM(I23:I28)</f>
        <v>64490640.67757781</v>
      </c>
      <c r="J29" s="18">
        <f>SUM(J23:J28)</f>
        <v>0</v>
      </c>
      <c r="L29" s="61"/>
    </row>
    <row r="30" spans="1:12" ht="15">
      <c r="A30" s="42" t="s">
        <v>80</v>
      </c>
      <c r="B30" s="21" t="s">
        <v>202</v>
      </c>
      <c r="C30" s="503" t="s">
        <v>203</v>
      </c>
      <c r="D30" s="507"/>
      <c r="E30" s="507"/>
      <c r="F30" s="508"/>
      <c r="G30" s="11">
        <f>'önkorm.bev'!G30</f>
        <v>3102000</v>
      </c>
      <c r="H30" s="198"/>
      <c r="I30" s="337">
        <f>G30</f>
        <v>3102000</v>
      </c>
      <c r="J30" s="198"/>
      <c r="L30" s="61"/>
    </row>
    <row r="31" spans="1:12" ht="15">
      <c r="A31" s="13" t="s">
        <v>83</v>
      </c>
      <c r="B31" s="41" t="s">
        <v>204</v>
      </c>
      <c r="C31" s="509" t="s">
        <v>205</v>
      </c>
      <c r="D31" s="510"/>
      <c r="E31" s="510"/>
      <c r="F31" s="511"/>
      <c r="G31" s="18">
        <f>SUM(G30)</f>
        <v>3102000</v>
      </c>
      <c r="H31" s="18">
        <f>SUM(H30)</f>
        <v>0</v>
      </c>
      <c r="I31" s="18">
        <f>SUM(I30)</f>
        <v>3102000</v>
      </c>
      <c r="J31" s="18">
        <f>SUM(J30)</f>
        <v>0</v>
      </c>
      <c r="L31" s="61"/>
    </row>
    <row r="32" spans="1:12" ht="38.25">
      <c r="A32" s="5" t="s">
        <v>86</v>
      </c>
      <c r="B32" s="10" t="s">
        <v>206</v>
      </c>
      <c r="C32" s="502" t="s">
        <v>207</v>
      </c>
      <c r="D32" s="502"/>
      <c r="E32" s="502"/>
      <c r="F32" s="502"/>
      <c r="G32" s="20">
        <f>'[1]Bev.Önk.'!$F$88</f>
        <v>3687509</v>
      </c>
      <c r="H32" s="20">
        <f>G32</f>
        <v>3687509</v>
      </c>
      <c r="I32" s="20"/>
      <c r="J32" s="20"/>
      <c r="L32" s="61"/>
    </row>
    <row r="33" spans="1:12" ht="15">
      <c r="A33" s="13" t="s">
        <v>89</v>
      </c>
      <c r="B33" s="14" t="s">
        <v>208</v>
      </c>
      <c r="C33" s="506" t="s">
        <v>209</v>
      </c>
      <c r="D33" s="506"/>
      <c r="E33" s="506"/>
      <c r="F33" s="506"/>
      <c r="G33" s="18">
        <f>SUM(G32)</f>
        <v>3687509</v>
      </c>
      <c r="H33" s="18">
        <f>SUM(H32)</f>
        <v>3687509</v>
      </c>
      <c r="I33" s="18">
        <f>SUM(I32)</f>
        <v>0</v>
      </c>
      <c r="J33" s="18">
        <f>SUM(J32)</f>
        <v>0</v>
      </c>
      <c r="L33" s="61"/>
    </row>
    <row r="34" spans="1:12" ht="15">
      <c r="A34" s="5" t="s">
        <v>92</v>
      </c>
      <c r="B34" s="10" t="s">
        <v>210</v>
      </c>
      <c r="C34" s="503" t="s">
        <v>211</v>
      </c>
      <c r="D34" s="507"/>
      <c r="E34" s="507"/>
      <c r="F34" s="508"/>
      <c r="G34" s="11">
        <f>'[1]Bev.Önk.'!$F$89</f>
        <v>1000000</v>
      </c>
      <c r="H34" s="11">
        <f>'[1]Bev.Önk.'!$F$89</f>
        <v>1000000</v>
      </c>
      <c r="I34" s="198"/>
      <c r="J34" s="198"/>
      <c r="L34" s="61"/>
    </row>
    <row r="35" spans="1:12" ht="15">
      <c r="A35" s="13" t="s">
        <v>95</v>
      </c>
      <c r="B35" s="14" t="s">
        <v>212</v>
      </c>
      <c r="C35" s="506" t="s">
        <v>213</v>
      </c>
      <c r="D35" s="506"/>
      <c r="E35" s="506"/>
      <c r="F35" s="506"/>
      <c r="G35" s="18">
        <f>SUM(G34)</f>
        <v>1000000</v>
      </c>
      <c r="H35" s="18">
        <f>SUM(H34)</f>
        <v>1000000</v>
      </c>
      <c r="I35" s="18">
        <f>SUM(I34)</f>
        <v>0</v>
      </c>
      <c r="J35" s="18">
        <f>SUM(J34)</f>
        <v>0</v>
      </c>
      <c r="L35" s="61"/>
    </row>
    <row r="36" spans="1:12" ht="25.5">
      <c r="A36" s="13" t="s">
        <v>98</v>
      </c>
      <c r="B36" s="28" t="s">
        <v>214</v>
      </c>
      <c r="C36" s="506" t="s">
        <v>215</v>
      </c>
      <c r="D36" s="506"/>
      <c r="E36" s="506"/>
      <c r="F36" s="506"/>
      <c r="G36" s="18">
        <f>G15+G17+G22+G29+G31+G33+G35</f>
        <v>689432968.1775779</v>
      </c>
      <c r="H36" s="18">
        <f>H15+H17+H22+H29+H31+H33+H35</f>
        <v>621840327.5</v>
      </c>
      <c r="I36" s="18">
        <f>I15+I17+I22+I29+I31+I33+I35</f>
        <v>67592640.67757781</v>
      </c>
      <c r="J36" s="18">
        <f>J15+J17+J22+J29+J31+J33+J35</f>
        <v>0</v>
      </c>
      <c r="L36" s="61"/>
    </row>
    <row r="37" spans="1:10" ht="15">
      <c r="A37" s="29"/>
      <c r="B37" s="40"/>
      <c r="C37" s="40"/>
      <c r="D37" s="40"/>
      <c r="E37" s="40"/>
      <c r="F37" s="40"/>
      <c r="G37" s="338"/>
      <c r="H37" s="332"/>
      <c r="I37" s="332"/>
      <c r="J37" s="332"/>
    </row>
    <row r="38" spans="1:10" ht="15.75">
      <c r="A38" s="512" t="s">
        <v>216</v>
      </c>
      <c r="B38" s="512"/>
      <c r="C38" s="512"/>
      <c r="D38" s="512"/>
      <c r="E38" s="512"/>
      <c r="F38" s="512"/>
      <c r="G38" s="512"/>
      <c r="H38" s="339"/>
      <c r="I38" s="339"/>
      <c r="J38" s="339"/>
    </row>
    <row r="39" spans="1:10" ht="15">
      <c r="A39" s="495" t="s">
        <v>3</v>
      </c>
      <c r="B39" s="496" t="s">
        <v>4</v>
      </c>
      <c r="C39" s="497" t="s">
        <v>5</v>
      </c>
      <c r="D39" s="497"/>
      <c r="E39" s="497"/>
      <c r="F39" s="497"/>
      <c r="G39" s="498" t="s">
        <v>144</v>
      </c>
      <c r="H39" s="332"/>
      <c r="I39" s="332"/>
      <c r="J39" s="332"/>
    </row>
    <row r="40" spans="1:10" ht="15">
      <c r="A40" s="495"/>
      <c r="B40" s="496"/>
      <c r="C40" s="497"/>
      <c r="D40" s="497"/>
      <c r="E40" s="497"/>
      <c r="F40" s="497"/>
      <c r="G40" s="498"/>
      <c r="H40" s="332"/>
      <c r="I40" s="332"/>
      <c r="J40" s="332"/>
    </row>
    <row r="41" spans="1:10" ht="25.5">
      <c r="A41" s="5" t="s">
        <v>101</v>
      </c>
      <c r="B41" s="19" t="s">
        <v>217</v>
      </c>
      <c r="C41" s="502" t="s">
        <v>218</v>
      </c>
      <c r="D41" s="502"/>
      <c r="E41" s="502"/>
      <c r="F41" s="502"/>
      <c r="G41" s="20">
        <f>'önkorm.bev'!G41+'Hivatal bevétel'!G41+'Óvoda bev.'!G41+'Könyvtár bev.'!G41</f>
        <v>222576583</v>
      </c>
      <c r="H41" s="339"/>
      <c r="I41" s="339"/>
      <c r="J41" s="339"/>
    </row>
    <row r="42" spans="1:10" ht="15">
      <c r="A42" s="5" t="s">
        <v>104</v>
      </c>
      <c r="B42" s="19" t="s">
        <v>219</v>
      </c>
      <c r="C42" s="502" t="s">
        <v>220</v>
      </c>
      <c r="D42" s="502"/>
      <c r="E42" s="502"/>
      <c r="F42" s="502"/>
      <c r="G42" s="20"/>
      <c r="H42" s="339"/>
      <c r="I42" s="339"/>
      <c r="J42" s="339"/>
    </row>
    <row r="43" spans="1:10" ht="15">
      <c r="A43" s="5" t="s">
        <v>107</v>
      </c>
      <c r="B43" s="19" t="s">
        <v>221</v>
      </c>
      <c r="C43" s="503" t="s">
        <v>222</v>
      </c>
      <c r="D43" s="507"/>
      <c r="E43" s="507"/>
      <c r="F43" s="508"/>
      <c r="G43" s="20">
        <f>'Hivatal bevétel'!G43+'Óvoda bev.'!G43+'Könyvtár bev.'!G43</f>
        <v>388081864.76</v>
      </c>
      <c r="H43" s="339"/>
      <c r="I43" s="339"/>
      <c r="J43" s="339"/>
    </row>
    <row r="44" spans="1:10" ht="15">
      <c r="A44" s="13" t="s">
        <v>110</v>
      </c>
      <c r="B44" s="28" t="s">
        <v>223</v>
      </c>
      <c r="C44" s="509" t="s">
        <v>224</v>
      </c>
      <c r="D44" s="510"/>
      <c r="E44" s="510"/>
      <c r="F44" s="511"/>
      <c r="G44" s="18">
        <f>SUM(G41:G43)</f>
        <v>610658447.76</v>
      </c>
      <c r="H44" s="339"/>
      <c r="I44" s="339"/>
      <c r="J44" s="339"/>
    </row>
    <row r="45" spans="1:10" ht="15">
      <c r="A45" s="46"/>
      <c r="B45" s="40"/>
      <c r="C45" s="40"/>
      <c r="D45" s="40"/>
      <c r="E45" s="40"/>
      <c r="F45" s="40"/>
      <c r="G45" s="338"/>
      <c r="H45" s="332"/>
      <c r="I45" s="332"/>
      <c r="J45" s="332"/>
    </row>
    <row r="46" spans="1:10" ht="15">
      <c r="A46" s="37"/>
      <c r="B46" s="38" t="s">
        <v>225</v>
      </c>
      <c r="C46" s="510"/>
      <c r="D46" s="510"/>
      <c r="E46" s="510"/>
      <c r="F46" s="510"/>
      <c r="G46" s="39">
        <f>G36+G44</f>
        <v>1300091415.9375777</v>
      </c>
      <c r="H46" s="341">
        <f>G46-'kiadás össz.'!G60</f>
        <v>-0.059565067291259766</v>
      </c>
      <c r="I46" s="332"/>
      <c r="J46" s="332"/>
    </row>
  </sheetData>
  <sheetProtection/>
  <mergeCells count="48">
    <mergeCell ref="C46:F46"/>
    <mergeCell ref="C36:F36"/>
    <mergeCell ref="A38:G38"/>
    <mergeCell ref="A39:A40"/>
    <mergeCell ref="B39:B40"/>
    <mergeCell ref="C39:F40"/>
    <mergeCell ref="C34:F34"/>
    <mergeCell ref="C35:F35"/>
    <mergeCell ref="C41:F41"/>
    <mergeCell ref="C42:F42"/>
    <mergeCell ref="C43:F43"/>
    <mergeCell ref="C44:F44"/>
    <mergeCell ref="C25:F25"/>
    <mergeCell ref="C26:F26"/>
    <mergeCell ref="C27:F27"/>
    <mergeCell ref="C28:F28"/>
    <mergeCell ref="C29:F29"/>
    <mergeCell ref="G39:G40"/>
    <mergeCell ref="C30:F30"/>
    <mergeCell ref="C31:F31"/>
    <mergeCell ref="C32:F32"/>
    <mergeCell ref="C33:F33"/>
    <mergeCell ref="C19:F19"/>
    <mergeCell ref="C20:F20"/>
    <mergeCell ref="C21:F21"/>
    <mergeCell ref="C22:F22"/>
    <mergeCell ref="C23:F23"/>
    <mergeCell ref="C24:F24"/>
    <mergeCell ref="C13:F13"/>
    <mergeCell ref="C14:F14"/>
    <mergeCell ref="C15:F15"/>
    <mergeCell ref="C16:F16"/>
    <mergeCell ref="C17:F17"/>
    <mergeCell ref="C18:F18"/>
    <mergeCell ref="C7:F7"/>
    <mergeCell ref="C8:F8"/>
    <mergeCell ref="C9:F9"/>
    <mergeCell ref="C10:F10"/>
    <mergeCell ref="C11:F11"/>
    <mergeCell ref="C12:F12"/>
    <mergeCell ref="A1:J1"/>
    <mergeCell ref="A3:G3"/>
    <mergeCell ref="A4:G4"/>
    <mergeCell ref="A5:A6"/>
    <mergeCell ref="B5:B6"/>
    <mergeCell ref="C5:F6"/>
    <mergeCell ref="G5:G6"/>
    <mergeCell ref="H5:J5"/>
  </mergeCells>
  <printOptions/>
  <pageMargins left="0.7" right="0.7" top="0.75" bottom="0.75" header="0.3" footer="0.3"/>
  <pageSetup horizontalDpi="600" verticalDpi="600" orientation="portrait" paperSize="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G43" sqref="G43"/>
    </sheetView>
  </sheetViews>
  <sheetFormatPr defaultColWidth="9.140625" defaultRowHeight="15"/>
  <cols>
    <col min="2" max="2" width="38.28125" style="0" customWidth="1"/>
    <col min="7" max="7" width="16.00390625" style="68" bestFit="1" customWidth="1"/>
    <col min="8" max="8" width="11.8515625" style="296" bestFit="1" customWidth="1"/>
    <col min="9" max="9" width="10.8515625" style="296" bestFit="1" customWidth="1"/>
    <col min="10" max="10" width="9.28125" style="296" bestFit="1" customWidth="1"/>
  </cols>
  <sheetData>
    <row r="1" spans="1:10" ht="15">
      <c r="A1" s="491" t="s">
        <v>239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ht="15">
      <c r="A2" s="1"/>
      <c r="B2" s="1"/>
      <c r="C2" s="1"/>
      <c r="D2" s="1"/>
      <c r="E2" s="1"/>
      <c r="F2" s="1"/>
      <c r="G2" s="279"/>
      <c r="H2" s="280"/>
      <c r="I2" s="280"/>
      <c r="J2" s="280"/>
    </row>
    <row r="3" spans="1:10" ht="15">
      <c r="A3" s="513" t="s">
        <v>238</v>
      </c>
      <c r="B3" s="513"/>
      <c r="C3" s="513"/>
      <c r="D3" s="513"/>
      <c r="E3" s="513"/>
      <c r="F3" s="513"/>
      <c r="G3" s="513"/>
      <c r="H3" s="281"/>
      <c r="I3" s="281"/>
      <c r="J3" s="281"/>
    </row>
    <row r="4" spans="1:10" ht="15">
      <c r="A4" s="514" t="s">
        <v>2</v>
      </c>
      <c r="B4" s="515"/>
      <c r="C4" s="515"/>
      <c r="D4" s="515"/>
      <c r="E4" s="515"/>
      <c r="F4" s="515"/>
      <c r="G4" s="515"/>
      <c r="H4" s="281"/>
      <c r="I4" s="281"/>
      <c r="J4" s="281"/>
    </row>
    <row r="5" spans="1:10" ht="15">
      <c r="A5" s="495" t="s">
        <v>3</v>
      </c>
      <c r="B5" s="496" t="s">
        <v>4</v>
      </c>
      <c r="C5" s="497" t="s">
        <v>5</v>
      </c>
      <c r="D5" s="497"/>
      <c r="E5" s="497"/>
      <c r="F5" s="497"/>
      <c r="G5" s="558" t="s">
        <v>144</v>
      </c>
      <c r="H5" s="559" t="s">
        <v>7</v>
      </c>
      <c r="I5" s="560"/>
      <c r="J5" s="561"/>
    </row>
    <row r="6" spans="1:10" ht="25.5">
      <c r="A6" s="495"/>
      <c r="B6" s="496"/>
      <c r="C6" s="497"/>
      <c r="D6" s="497"/>
      <c r="E6" s="497"/>
      <c r="F6" s="497"/>
      <c r="G6" s="558"/>
      <c r="H6" s="282" t="s">
        <v>8</v>
      </c>
      <c r="I6" s="282" t="s">
        <v>9</v>
      </c>
      <c r="J6" s="282" t="s">
        <v>10</v>
      </c>
    </row>
    <row r="7" spans="1:11" ht="15">
      <c r="A7" s="5" t="s">
        <v>11</v>
      </c>
      <c r="B7" s="6" t="s">
        <v>240</v>
      </c>
      <c r="C7" s="503" t="s">
        <v>13</v>
      </c>
      <c r="D7" s="507"/>
      <c r="E7" s="507"/>
      <c r="F7" s="508"/>
      <c r="G7" s="283">
        <f>3797136+3085000+1793570</f>
        <v>8675706</v>
      </c>
      <c r="H7" s="58">
        <f>3797136+225000+2860000+143570+1650000</f>
        <v>8675706</v>
      </c>
      <c r="I7" s="58"/>
      <c r="J7" s="58"/>
      <c r="K7" s="278"/>
    </row>
    <row r="8" spans="1:11" ht="15">
      <c r="A8" s="5" t="s">
        <v>14</v>
      </c>
      <c r="B8" s="6" t="s">
        <v>15</v>
      </c>
      <c r="C8" s="503" t="s">
        <v>16</v>
      </c>
      <c r="D8" s="507"/>
      <c r="E8" s="507"/>
      <c r="F8" s="508"/>
      <c r="G8" s="283">
        <v>282000</v>
      </c>
      <c r="H8" s="283">
        <v>0</v>
      </c>
      <c r="I8" s="283">
        <v>282000</v>
      </c>
      <c r="J8" s="283">
        <v>0</v>
      </c>
      <c r="K8" s="278"/>
    </row>
    <row r="9" spans="1:11" ht="25.5">
      <c r="A9" s="5" t="s">
        <v>17</v>
      </c>
      <c r="B9" s="6" t="s">
        <v>234</v>
      </c>
      <c r="C9" s="503" t="s">
        <v>19</v>
      </c>
      <c r="D9" s="507"/>
      <c r="E9" s="507"/>
      <c r="F9" s="508"/>
      <c r="G9" s="283">
        <v>0</v>
      </c>
      <c r="H9" s="58">
        <v>0</v>
      </c>
      <c r="I9" s="58"/>
      <c r="J9" s="58"/>
      <c r="K9" s="278"/>
    </row>
    <row r="10" spans="1:11" ht="15">
      <c r="A10" s="5" t="s">
        <v>20</v>
      </c>
      <c r="B10" s="6" t="s">
        <v>21</v>
      </c>
      <c r="C10" s="503" t="s">
        <v>22</v>
      </c>
      <c r="D10" s="507"/>
      <c r="E10" s="507"/>
      <c r="F10" s="508"/>
      <c r="G10" s="283">
        <f>316428*2</f>
        <v>632856</v>
      </c>
      <c r="H10" s="58">
        <v>632856</v>
      </c>
      <c r="I10" s="58"/>
      <c r="J10" s="58"/>
      <c r="K10" s="278"/>
    </row>
    <row r="11" spans="1:11" ht="15">
      <c r="A11" s="5" t="s">
        <v>23</v>
      </c>
      <c r="B11" s="10" t="s">
        <v>24</v>
      </c>
      <c r="C11" s="502" t="s">
        <v>25</v>
      </c>
      <c r="D11" s="502"/>
      <c r="E11" s="502"/>
      <c r="F11" s="502"/>
      <c r="G11" s="283">
        <f>'[1]Könyvtár'!$I$44</f>
        <v>264000</v>
      </c>
      <c r="H11" s="58">
        <f>(16*12000)+72000</f>
        <v>264000</v>
      </c>
      <c r="I11" s="58"/>
      <c r="J11" s="58"/>
      <c r="K11" s="278"/>
    </row>
    <row r="12" spans="1:11" ht="15">
      <c r="A12" s="5" t="s">
        <v>26</v>
      </c>
      <c r="B12" s="10" t="s">
        <v>27</v>
      </c>
      <c r="C12" s="503" t="s">
        <v>28</v>
      </c>
      <c r="D12" s="507"/>
      <c r="E12" s="507"/>
      <c r="F12" s="508"/>
      <c r="G12" s="283"/>
      <c r="H12" s="58"/>
      <c r="I12" s="58"/>
      <c r="J12" s="58"/>
      <c r="K12" s="278"/>
    </row>
    <row r="13" spans="1:11" ht="15">
      <c r="A13" s="5" t="s">
        <v>29</v>
      </c>
      <c r="B13" s="10" t="s">
        <v>30</v>
      </c>
      <c r="C13" s="502" t="s">
        <v>31</v>
      </c>
      <c r="D13" s="502"/>
      <c r="E13" s="502"/>
      <c r="F13" s="502"/>
      <c r="G13" s="283">
        <f>'[1]Könyvtár'!$I$45</f>
        <v>10000</v>
      </c>
      <c r="H13" s="58">
        <v>10000</v>
      </c>
      <c r="I13" s="58"/>
      <c r="J13" s="58"/>
      <c r="K13" s="278"/>
    </row>
    <row r="14" spans="1:11" ht="15">
      <c r="A14" s="5" t="s">
        <v>32</v>
      </c>
      <c r="B14" s="10" t="s">
        <v>33</v>
      </c>
      <c r="C14" s="503" t="s">
        <v>34</v>
      </c>
      <c r="D14" s="507"/>
      <c r="E14" s="507"/>
      <c r="F14" s="508"/>
      <c r="G14" s="283"/>
      <c r="H14" s="58"/>
      <c r="I14" s="58"/>
      <c r="J14" s="58"/>
      <c r="K14" s="278"/>
    </row>
    <row r="15" spans="1:11" ht="15">
      <c r="A15" s="5" t="s">
        <v>35</v>
      </c>
      <c r="B15" s="10" t="s">
        <v>36</v>
      </c>
      <c r="C15" s="503" t="s">
        <v>37</v>
      </c>
      <c r="D15" s="507"/>
      <c r="E15" s="507"/>
      <c r="F15" s="508"/>
      <c r="G15" s="283">
        <f>'[1]Könyvtár'!$I$46</f>
        <v>36000</v>
      </c>
      <c r="H15" s="58">
        <v>36000</v>
      </c>
      <c r="I15" s="58"/>
      <c r="J15" s="58"/>
      <c r="K15" s="278"/>
    </row>
    <row r="16" spans="1:11" ht="15">
      <c r="A16" s="5" t="s">
        <v>38</v>
      </c>
      <c r="B16" s="10" t="s">
        <v>39</v>
      </c>
      <c r="C16" s="502" t="s">
        <v>40</v>
      </c>
      <c r="D16" s="502"/>
      <c r="E16" s="502"/>
      <c r="F16" s="502"/>
      <c r="G16" s="283"/>
      <c r="H16" s="58"/>
      <c r="I16" s="58"/>
      <c r="J16" s="58"/>
      <c r="K16" s="278"/>
    </row>
    <row r="17" spans="1:11" ht="25.5">
      <c r="A17" s="5" t="s">
        <v>41</v>
      </c>
      <c r="B17" s="10" t="s">
        <v>42</v>
      </c>
      <c r="C17" s="502" t="s">
        <v>43</v>
      </c>
      <c r="D17" s="502"/>
      <c r="E17" s="502"/>
      <c r="F17" s="502"/>
      <c r="G17" s="284"/>
      <c r="H17" s="285"/>
      <c r="I17" s="285"/>
      <c r="J17" s="285"/>
      <c r="K17" s="278"/>
    </row>
    <row r="18" spans="1:11" ht="15">
      <c r="A18" s="5" t="s">
        <v>44</v>
      </c>
      <c r="B18" s="10" t="s">
        <v>45</v>
      </c>
      <c r="C18" s="502" t="s">
        <v>46</v>
      </c>
      <c r="D18" s="502"/>
      <c r="E18" s="502"/>
      <c r="F18" s="502"/>
      <c r="G18" s="283">
        <f>'[1]Könyvtár'!$I$47</f>
        <v>10000</v>
      </c>
      <c r="H18" s="58">
        <v>10000</v>
      </c>
      <c r="I18" s="58"/>
      <c r="J18" s="58"/>
      <c r="K18" s="278"/>
    </row>
    <row r="19" spans="1:11" ht="15">
      <c r="A19" s="13" t="s">
        <v>47</v>
      </c>
      <c r="B19" s="14" t="s">
        <v>48</v>
      </c>
      <c r="C19" s="506" t="s">
        <v>49</v>
      </c>
      <c r="D19" s="506"/>
      <c r="E19" s="506"/>
      <c r="F19" s="506"/>
      <c r="G19" s="286">
        <f>SUM(G7:G18)</f>
        <v>9910562</v>
      </c>
      <c r="H19" s="286">
        <f>SUM(H7:H18)</f>
        <v>9628562</v>
      </c>
      <c r="I19" s="286">
        <f>SUM(I7:I18)</f>
        <v>282000</v>
      </c>
      <c r="J19" s="286">
        <f>SUM(J7:J18)</f>
        <v>0</v>
      </c>
      <c r="K19" s="278"/>
    </row>
    <row r="20" spans="1:11" ht="25.5">
      <c r="A20" s="13" t="s">
        <v>50</v>
      </c>
      <c r="B20" s="14" t="s">
        <v>51</v>
      </c>
      <c r="C20" s="506" t="s">
        <v>52</v>
      </c>
      <c r="D20" s="506"/>
      <c r="E20" s="506"/>
      <c r="F20" s="506"/>
      <c r="G20" s="287">
        <f>((G7+G10+G15+G8)*0.13)+(G11+G18*0.28)</f>
        <v>1518253.06</v>
      </c>
      <c r="H20" s="287">
        <f>((H7+H10+H15+H8)*0.13)+(H11+H18*0.28)</f>
        <v>1481593.06</v>
      </c>
      <c r="I20" s="287">
        <f>((I7+I10+I15+I8)*0.13)+(I11*0.28)</f>
        <v>36660</v>
      </c>
      <c r="J20" s="287">
        <f>((J7+J10+J15+J8)*0.13)+(J11*0.28)</f>
        <v>0</v>
      </c>
      <c r="K20" s="278"/>
    </row>
    <row r="21" spans="1:11" ht="15">
      <c r="A21" s="5" t="s">
        <v>53</v>
      </c>
      <c r="B21" s="10" t="s">
        <v>54</v>
      </c>
      <c r="C21" s="502" t="s">
        <v>55</v>
      </c>
      <c r="D21" s="502"/>
      <c r="E21" s="502"/>
      <c r="F21" s="502"/>
      <c r="G21" s="283">
        <v>1250000</v>
      </c>
      <c r="H21" s="58">
        <f>G21</f>
        <v>1250000</v>
      </c>
      <c r="I21" s="58"/>
      <c r="J21" s="58"/>
      <c r="K21" s="278"/>
    </row>
    <row r="22" spans="1:11" ht="15">
      <c r="A22" s="5" t="s">
        <v>56</v>
      </c>
      <c r="B22" s="10" t="s">
        <v>57</v>
      </c>
      <c r="C22" s="503" t="s">
        <v>58</v>
      </c>
      <c r="D22" s="507"/>
      <c r="E22" s="507"/>
      <c r="F22" s="508"/>
      <c r="G22" s="283">
        <f>720000/1.27</f>
        <v>566929.1338582677</v>
      </c>
      <c r="H22" s="58">
        <f aca="true" t="shared" si="0" ref="H22:H32">G22</f>
        <v>566929.1338582677</v>
      </c>
      <c r="I22" s="58"/>
      <c r="J22" s="58"/>
      <c r="K22" s="278"/>
    </row>
    <row r="23" spans="1:11" ht="15">
      <c r="A23" s="5" t="s">
        <v>59</v>
      </c>
      <c r="B23" s="10" t="s">
        <v>60</v>
      </c>
      <c r="C23" s="502" t="s">
        <v>61</v>
      </c>
      <c r="D23" s="502"/>
      <c r="E23" s="502"/>
      <c r="F23" s="502"/>
      <c r="G23" s="283">
        <f>250000+150000</f>
        <v>400000</v>
      </c>
      <c r="H23" s="58">
        <f t="shared" si="0"/>
        <v>400000</v>
      </c>
      <c r="I23" s="58"/>
      <c r="J23" s="58"/>
      <c r="K23" s="278"/>
    </row>
    <row r="24" spans="1:11" ht="15">
      <c r="A24" s="5" t="s">
        <v>62</v>
      </c>
      <c r="B24" s="10" t="s">
        <v>63</v>
      </c>
      <c r="C24" s="502" t="s">
        <v>64</v>
      </c>
      <c r="D24" s="502"/>
      <c r="E24" s="502"/>
      <c r="F24" s="502"/>
      <c r="G24" s="283">
        <v>300000</v>
      </c>
      <c r="H24" s="58">
        <f t="shared" si="0"/>
        <v>300000</v>
      </c>
      <c r="I24" s="58"/>
      <c r="J24" s="58"/>
      <c r="K24" s="278"/>
    </row>
    <row r="25" spans="1:11" ht="15">
      <c r="A25" s="5" t="s">
        <v>65</v>
      </c>
      <c r="B25" s="19" t="s">
        <v>66</v>
      </c>
      <c r="C25" s="502" t="s">
        <v>67</v>
      </c>
      <c r="D25" s="502"/>
      <c r="E25" s="502"/>
      <c r="F25" s="502"/>
      <c r="G25" s="283">
        <f>600000+300000+30000</f>
        <v>930000</v>
      </c>
      <c r="H25" s="58">
        <f t="shared" si="0"/>
        <v>930000</v>
      </c>
      <c r="I25" s="58"/>
      <c r="J25" s="58"/>
      <c r="K25" s="278"/>
    </row>
    <row r="26" spans="1:11" ht="15">
      <c r="A26" s="5" t="s">
        <v>68</v>
      </c>
      <c r="B26" s="19" t="s">
        <v>69</v>
      </c>
      <c r="C26" s="502" t="s">
        <v>70</v>
      </c>
      <c r="D26" s="502"/>
      <c r="E26" s="502"/>
      <c r="F26" s="502"/>
      <c r="G26" s="283">
        <v>50000</v>
      </c>
      <c r="H26" s="58">
        <f t="shared" si="0"/>
        <v>50000</v>
      </c>
      <c r="I26" s="58"/>
      <c r="J26" s="58"/>
      <c r="K26" s="278"/>
    </row>
    <row r="27" spans="1:11" ht="15">
      <c r="A27" s="5" t="s">
        <v>71</v>
      </c>
      <c r="B27" s="19" t="s">
        <v>72</v>
      </c>
      <c r="C27" s="503" t="s">
        <v>73</v>
      </c>
      <c r="D27" s="507"/>
      <c r="E27" s="507"/>
      <c r="F27" s="508"/>
      <c r="G27" s="283"/>
      <c r="H27" s="58">
        <f t="shared" si="0"/>
        <v>0</v>
      </c>
      <c r="I27" s="58"/>
      <c r="J27" s="58"/>
      <c r="K27" s="278"/>
    </row>
    <row r="28" spans="1:11" ht="15">
      <c r="A28" s="5" t="s">
        <v>74</v>
      </c>
      <c r="B28" s="19" t="s">
        <v>75</v>
      </c>
      <c r="C28" s="502" t="s">
        <v>76</v>
      </c>
      <c r="D28" s="502"/>
      <c r="E28" s="502"/>
      <c r="F28" s="502"/>
      <c r="G28" s="283"/>
      <c r="H28" s="58">
        <f t="shared" si="0"/>
        <v>0</v>
      </c>
      <c r="I28" s="58"/>
      <c r="J28" s="58"/>
      <c r="K28" s="278"/>
    </row>
    <row r="29" spans="1:11" ht="15">
      <c r="A29" s="5" t="s">
        <v>77</v>
      </c>
      <c r="B29" s="19" t="s">
        <v>78</v>
      </c>
      <c r="C29" s="502" t="s">
        <v>79</v>
      </c>
      <c r="D29" s="502"/>
      <c r="E29" s="502"/>
      <c r="F29" s="502"/>
      <c r="G29" s="283">
        <f>1500000+150000+100000</f>
        <v>1750000</v>
      </c>
      <c r="H29" s="58">
        <f t="shared" si="0"/>
        <v>1750000</v>
      </c>
      <c r="I29" s="58"/>
      <c r="J29" s="58"/>
      <c r="K29" s="278"/>
    </row>
    <row r="30" spans="1:11" ht="15">
      <c r="A30" s="5" t="s">
        <v>80</v>
      </c>
      <c r="B30" s="19" t="s">
        <v>81</v>
      </c>
      <c r="C30" s="503" t="s">
        <v>82</v>
      </c>
      <c r="D30" s="507"/>
      <c r="E30" s="507"/>
      <c r="F30" s="508"/>
      <c r="G30" s="283">
        <v>70000</v>
      </c>
      <c r="H30" s="58">
        <v>0</v>
      </c>
      <c r="I30" s="58">
        <f>G30</f>
        <v>70000</v>
      </c>
      <c r="J30" s="58"/>
      <c r="K30" s="278"/>
    </row>
    <row r="31" spans="1:11" ht="25.5">
      <c r="A31" s="5" t="s">
        <v>83</v>
      </c>
      <c r="B31" s="19" t="s">
        <v>84</v>
      </c>
      <c r="C31" s="502" t="s">
        <v>85</v>
      </c>
      <c r="D31" s="502"/>
      <c r="E31" s="502"/>
      <c r="F31" s="502"/>
      <c r="G31" s="283">
        <f>(G21*0.05)+((G22+G23+G24+G25+G26+G29)*0.27)-27000</f>
        <v>1114670.8661417323</v>
      </c>
      <c r="H31" s="58">
        <f t="shared" si="0"/>
        <v>1114670.8661417323</v>
      </c>
      <c r="I31" s="58"/>
      <c r="J31" s="58"/>
      <c r="K31" s="278"/>
    </row>
    <row r="32" spans="1:11" ht="15">
      <c r="A32" s="5" t="s">
        <v>86</v>
      </c>
      <c r="B32" s="21" t="s">
        <v>87</v>
      </c>
      <c r="C32" s="502" t="s">
        <v>88</v>
      </c>
      <c r="D32" s="502"/>
      <c r="E32" s="502"/>
      <c r="F32" s="502"/>
      <c r="G32" s="284">
        <f>100000*0.27</f>
        <v>27000</v>
      </c>
      <c r="H32" s="58">
        <f t="shared" si="0"/>
        <v>27000</v>
      </c>
      <c r="I32" s="58">
        <v>0</v>
      </c>
      <c r="J32" s="58"/>
      <c r="K32" s="278"/>
    </row>
    <row r="33" spans="1:11" ht="15">
      <c r="A33" s="13" t="s">
        <v>89</v>
      </c>
      <c r="B33" s="14" t="s">
        <v>90</v>
      </c>
      <c r="C33" s="506" t="s">
        <v>91</v>
      </c>
      <c r="D33" s="506"/>
      <c r="E33" s="506"/>
      <c r="F33" s="506"/>
      <c r="G33" s="287">
        <f>SUM(G21:G32)</f>
        <v>6458600</v>
      </c>
      <c r="H33" s="287">
        <f>SUM(H21:H32)</f>
        <v>6388600</v>
      </c>
      <c r="I33" s="287">
        <f>SUM(I21:I32)</f>
        <v>70000</v>
      </c>
      <c r="J33" s="287">
        <f>SUM(J21:J32)</f>
        <v>0</v>
      </c>
      <c r="K33" s="278"/>
    </row>
    <row r="34" spans="1:11" ht="15">
      <c r="A34" s="5" t="s">
        <v>92</v>
      </c>
      <c r="B34" s="10" t="s">
        <v>93</v>
      </c>
      <c r="C34" s="503" t="s">
        <v>94</v>
      </c>
      <c r="D34" s="507"/>
      <c r="E34" s="507"/>
      <c r="F34" s="508"/>
      <c r="G34" s="288"/>
      <c r="H34" s="58"/>
      <c r="I34" s="58"/>
      <c r="J34" s="58"/>
      <c r="K34" s="278"/>
    </row>
    <row r="35" spans="1:11" ht="15">
      <c r="A35" s="5" t="s">
        <v>95</v>
      </c>
      <c r="B35" s="10" t="s">
        <v>96</v>
      </c>
      <c r="C35" s="503" t="s">
        <v>97</v>
      </c>
      <c r="D35" s="507"/>
      <c r="E35" s="507"/>
      <c r="F35" s="508"/>
      <c r="G35" s="288"/>
      <c r="H35" s="58"/>
      <c r="I35" s="58"/>
      <c r="J35" s="58"/>
      <c r="K35" s="278"/>
    </row>
    <row r="36" spans="1:11" ht="15">
      <c r="A36" s="13" t="s">
        <v>98</v>
      </c>
      <c r="B36" s="14" t="s">
        <v>99</v>
      </c>
      <c r="C36" s="509" t="s">
        <v>100</v>
      </c>
      <c r="D36" s="510"/>
      <c r="E36" s="510"/>
      <c r="F36" s="511"/>
      <c r="G36" s="287">
        <f>SUM(G34:G35)</f>
        <v>0</v>
      </c>
      <c r="H36" s="287">
        <f>SUM(H34:H35)</f>
        <v>0</v>
      </c>
      <c r="I36" s="287">
        <f>SUM(I34:I35)</f>
        <v>0</v>
      </c>
      <c r="J36" s="287">
        <f>SUM(J34:J35)</f>
        <v>0</v>
      </c>
      <c r="K36" s="278"/>
    </row>
    <row r="37" spans="1:11" ht="25.5">
      <c r="A37" s="5" t="s">
        <v>101</v>
      </c>
      <c r="B37" s="10" t="s">
        <v>102</v>
      </c>
      <c r="C37" s="503" t="s">
        <v>103</v>
      </c>
      <c r="D37" s="507"/>
      <c r="E37" s="507"/>
      <c r="F37" s="508"/>
      <c r="G37" s="288"/>
      <c r="H37" s="58"/>
      <c r="I37" s="58"/>
      <c r="J37" s="58"/>
      <c r="K37" s="278"/>
    </row>
    <row r="38" spans="1:11" ht="25.5">
      <c r="A38" s="5" t="s">
        <v>104</v>
      </c>
      <c r="B38" s="10" t="s">
        <v>105</v>
      </c>
      <c r="C38" s="503" t="s">
        <v>106</v>
      </c>
      <c r="D38" s="507"/>
      <c r="E38" s="507"/>
      <c r="F38" s="508"/>
      <c r="G38" s="288"/>
      <c r="H38" s="58"/>
      <c r="I38" s="58"/>
      <c r="J38" s="58"/>
      <c r="K38" s="278"/>
    </row>
    <row r="39" spans="1:11" ht="15">
      <c r="A39" s="5" t="s">
        <v>107</v>
      </c>
      <c r="B39" s="10" t="s">
        <v>108</v>
      </c>
      <c r="C39" s="503" t="s">
        <v>109</v>
      </c>
      <c r="D39" s="507"/>
      <c r="E39" s="507"/>
      <c r="F39" s="508"/>
      <c r="G39" s="288"/>
      <c r="H39" s="58"/>
      <c r="I39" s="58"/>
      <c r="J39" s="58"/>
      <c r="K39" s="278"/>
    </row>
    <row r="40" spans="1:11" ht="15">
      <c r="A40" s="13" t="s">
        <v>110</v>
      </c>
      <c r="B40" s="24" t="s">
        <v>111</v>
      </c>
      <c r="C40" s="509" t="s">
        <v>112</v>
      </c>
      <c r="D40" s="510"/>
      <c r="E40" s="510"/>
      <c r="F40" s="511"/>
      <c r="G40" s="287">
        <f>SUM(G37:G39)</f>
        <v>0</v>
      </c>
      <c r="H40" s="287">
        <f>SUM(H37:H39)</f>
        <v>0</v>
      </c>
      <c r="I40" s="287">
        <f>SUM(I37:I39)</f>
        <v>0</v>
      </c>
      <c r="J40" s="287">
        <f>SUM(J37:J39)</f>
        <v>0</v>
      </c>
      <c r="K40" s="278"/>
    </row>
    <row r="41" spans="1:11" ht="15">
      <c r="A41" s="5" t="s">
        <v>113</v>
      </c>
      <c r="B41" s="25" t="s">
        <v>114</v>
      </c>
      <c r="C41" s="520" t="s">
        <v>115</v>
      </c>
      <c r="D41" s="521"/>
      <c r="E41" s="521"/>
      <c r="F41" s="522"/>
      <c r="G41" s="288">
        <v>0</v>
      </c>
      <c r="H41" s="288"/>
      <c r="I41" s="288">
        <v>0</v>
      </c>
      <c r="J41" s="288"/>
      <c r="K41" s="278"/>
    </row>
    <row r="42" spans="1:11" ht="15">
      <c r="A42" s="5" t="s">
        <v>116</v>
      </c>
      <c r="B42" s="25" t="s">
        <v>235</v>
      </c>
      <c r="C42" s="503" t="s">
        <v>236</v>
      </c>
      <c r="D42" s="507"/>
      <c r="E42" s="507"/>
      <c r="F42" s="508"/>
      <c r="G42" s="288">
        <v>0</v>
      </c>
      <c r="H42" s="288"/>
      <c r="I42" s="288"/>
      <c r="J42" s="288"/>
      <c r="K42" s="278"/>
    </row>
    <row r="43" spans="1:11" ht="15">
      <c r="A43" s="5" t="s">
        <v>119</v>
      </c>
      <c r="B43" s="10" t="s">
        <v>117</v>
      </c>
      <c r="C43" s="503" t="s">
        <v>118</v>
      </c>
      <c r="D43" s="507"/>
      <c r="E43" s="507"/>
      <c r="F43" s="508"/>
      <c r="G43" s="288">
        <f>(500000+100000+200000)/1.27</f>
        <v>629921.2598425196</v>
      </c>
      <c r="H43" s="288">
        <v>0</v>
      </c>
      <c r="I43" s="288">
        <f>(500000+100000+200000+50000)-180710</f>
        <v>669290</v>
      </c>
      <c r="J43" s="288">
        <v>0</v>
      </c>
      <c r="K43" s="278"/>
    </row>
    <row r="44" spans="1:11" ht="25.5">
      <c r="A44" s="5" t="s">
        <v>122</v>
      </c>
      <c r="B44" s="10" t="s">
        <v>120</v>
      </c>
      <c r="C44" s="503" t="s">
        <v>121</v>
      </c>
      <c r="D44" s="507"/>
      <c r="E44" s="507"/>
      <c r="F44" s="508"/>
      <c r="G44" s="288">
        <f>(G43*0.27)+2</f>
        <v>170080.74015748032</v>
      </c>
      <c r="H44" s="288">
        <v>0</v>
      </c>
      <c r="I44" s="288">
        <f>(I43*0.27)+2</f>
        <v>180710.30000000002</v>
      </c>
      <c r="J44" s="288">
        <v>0</v>
      </c>
      <c r="K44" s="278"/>
    </row>
    <row r="45" spans="1:11" ht="15">
      <c r="A45" s="71" t="s">
        <v>125</v>
      </c>
      <c r="B45" s="14" t="s">
        <v>123</v>
      </c>
      <c r="C45" s="509" t="s">
        <v>124</v>
      </c>
      <c r="D45" s="510"/>
      <c r="E45" s="510"/>
      <c r="F45" s="511"/>
      <c r="G45" s="287">
        <f>SUM(G41:G44)</f>
        <v>800002</v>
      </c>
      <c r="H45" s="287">
        <f>SUM(H43:H44)</f>
        <v>0</v>
      </c>
      <c r="I45" s="287">
        <f>SUM(I41:I44)</f>
        <v>850000.3</v>
      </c>
      <c r="J45" s="287">
        <f>SUM(J43:J44)</f>
        <v>0</v>
      </c>
      <c r="K45" s="278"/>
    </row>
    <row r="46" spans="1:11" ht="15">
      <c r="A46" s="5" t="s">
        <v>128</v>
      </c>
      <c r="B46" s="10" t="s">
        <v>126</v>
      </c>
      <c r="C46" s="503" t="s">
        <v>127</v>
      </c>
      <c r="D46" s="507"/>
      <c r="E46" s="507"/>
      <c r="F46" s="508"/>
      <c r="G46" s="288"/>
      <c r="H46" s="58"/>
      <c r="I46" s="58"/>
      <c r="J46" s="58"/>
      <c r="K46" s="278"/>
    </row>
    <row r="47" spans="1:11" ht="25.5">
      <c r="A47" s="5" t="s">
        <v>131</v>
      </c>
      <c r="B47" s="10" t="s">
        <v>129</v>
      </c>
      <c r="C47" s="503" t="s">
        <v>130</v>
      </c>
      <c r="D47" s="507"/>
      <c r="E47" s="507"/>
      <c r="F47" s="508"/>
      <c r="G47" s="284"/>
      <c r="H47" s="58"/>
      <c r="I47" s="58"/>
      <c r="J47" s="58"/>
      <c r="K47" s="278"/>
    </row>
    <row r="48" spans="1:11" ht="15">
      <c r="A48" s="71" t="s">
        <v>134</v>
      </c>
      <c r="B48" s="14" t="s">
        <v>132</v>
      </c>
      <c r="C48" s="509" t="s">
        <v>133</v>
      </c>
      <c r="D48" s="510"/>
      <c r="E48" s="510"/>
      <c r="F48" s="511"/>
      <c r="G48" s="287">
        <f>SUM(G46:G47)</f>
        <v>0</v>
      </c>
      <c r="H48" s="287">
        <f>SUM(H46:H47)</f>
        <v>0</v>
      </c>
      <c r="I48" s="287">
        <f>SUM(I46:I47)</f>
        <v>0</v>
      </c>
      <c r="J48" s="287">
        <f>SUM(J46:J47)</f>
        <v>0</v>
      </c>
      <c r="K48" s="278"/>
    </row>
    <row r="49" spans="1:11" ht="38.25">
      <c r="A49" s="5" t="s">
        <v>137</v>
      </c>
      <c r="B49" s="10" t="s">
        <v>135</v>
      </c>
      <c r="C49" s="503" t="s">
        <v>136</v>
      </c>
      <c r="D49" s="507"/>
      <c r="E49" s="507"/>
      <c r="F49" s="508"/>
      <c r="G49" s="284"/>
      <c r="H49" s="58"/>
      <c r="I49" s="58"/>
      <c r="J49" s="58"/>
      <c r="K49" s="278"/>
    </row>
    <row r="50" spans="1:11" ht="15">
      <c r="A50" s="71" t="s">
        <v>140</v>
      </c>
      <c r="B50" s="14" t="s">
        <v>138</v>
      </c>
      <c r="C50" s="509" t="s">
        <v>139</v>
      </c>
      <c r="D50" s="510"/>
      <c r="E50" s="510"/>
      <c r="F50" s="511"/>
      <c r="G50" s="287">
        <f>SUM(G49)</f>
        <v>0</v>
      </c>
      <c r="H50" s="287">
        <f>SUM(H49)</f>
        <v>0</v>
      </c>
      <c r="I50" s="287">
        <f>SUM(I49)</f>
        <v>0</v>
      </c>
      <c r="J50" s="287">
        <f>SUM(J49)</f>
        <v>0</v>
      </c>
      <c r="K50" s="278"/>
    </row>
    <row r="51" spans="1:11" ht="15">
      <c r="A51" s="71" t="s">
        <v>147</v>
      </c>
      <c r="B51" s="28" t="s">
        <v>141</v>
      </c>
      <c r="C51" s="506" t="s">
        <v>142</v>
      </c>
      <c r="D51" s="506"/>
      <c r="E51" s="506"/>
      <c r="F51" s="506"/>
      <c r="G51" s="287">
        <f>G19+G20+G33+G36+G40+G45+G48+G50</f>
        <v>18687417.060000002</v>
      </c>
      <c r="H51" s="287">
        <f>H19+H20+H33+H36+H40+H45+H48+H50</f>
        <v>17498755.060000002</v>
      </c>
      <c r="I51" s="287">
        <f>I19+I20+I33+I36+I40+I45+I48+I50</f>
        <v>1238660.3</v>
      </c>
      <c r="J51" s="287">
        <f>J19+J20+J33+J36+J40+J45+J48+J50</f>
        <v>0</v>
      </c>
      <c r="K51" s="278"/>
    </row>
    <row r="52" spans="1:11" ht="15">
      <c r="A52" s="29"/>
      <c r="B52" s="2"/>
      <c r="C52" s="2"/>
      <c r="D52" s="2"/>
      <c r="E52" s="2"/>
      <c r="F52" s="2"/>
      <c r="G52" s="269"/>
      <c r="H52" s="289"/>
      <c r="I52" s="289"/>
      <c r="J52" s="289"/>
      <c r="K52" s="278"/>
    </row>
    <row r="53" spans="1:11" ht="15">
      <c r="A53" s="523" t="s">
        <v>143</v>
      </c>
      <c r="B53" s="523"/>
      <c r="C53" s="523"/>
      <c r="D53" s="523"/>
      <c r="E53" s="523"/>
      <c r="F53" s="523"/>
      <c r="G53" s="523"/>
      <c r="H53" s="290"/>
      <c r="I53" s="290"/>
      <c r="J53" s="290"/>
      <c r="K53" s="278"/>
    </row>
    <row r="54" spans="1:11" ht="15">
      <c r="A54" s="495" t="s">
        <v>3</v>
      </c>
      <c r="B54" s="496" t="s">
        <v>4</v>
      </c>
      <c r="C54" s="497" t="s">
        <v>5</v>
      </c>
      <c r="D54" s="497"/>
      <c r="E54" s="497"/>
      <c r="F54" s="497"/>
      <c r="G54" s="558" t="s">
        <v>144</v>
      </c>
      <c r="H54" s="291"/>
      <c r="I54" s="291"/>
      <c r="J54" s="291"/>
      <c r="K54" s="278"/>
    </row>
    <row r="55" spans="1:11" ht="15">
      <c r="A55" s="495"/>
      <c r="B55" s="496"/>
      <c r="C55" s="497"/>
      <c r="D55" s="497"/>
      <c r="E55" s="497"/>
      <c r="F55" s="497"/>
      <c r="G55" s="558"/>
      <c r="H55" s="289"/>
      <c r="I55" s="289"/>
      <c r="J55" s="289"/>
      <c r="K55" s="278"/>
    </row>
    <row r="56" spans="1:11" ht="25.5">
      <c r="A56" s="5" t="s">
        <v>140</v>
      </c>
      <c r="B56" s="19" t="s">
        <v>145</v>
      </c>
      <c r="C56" s="502" t="s">
        <v>146</v>
      </c>
      <c r="D56" s="502"/>
      <c r="E56" s="502"/>
      <c r="F56" s="502"/>
      <c r="G56" s="283"/>
      <c r="H56" s="292"/>
      <c r="I56" s="292"/>
      <c r="J56" s="292"/>
      <c r="K56" s="278"/>
    </row>
    <row r="57" spans="1:10" ht="25.5">
      <c r="A57" s="5" t="s">
        <v>147</v>
      </c>
      <c r="B57" s="19" t="s">
        <v>148</v>
      </c>
      <c r="C57" s="502" t="s">
        <v>149</v>
      </c>
      <c r="D57" s="502"/>
      <c r="E57" s="502"/>
      <c r="F57" s="502"/>
      <c r="G57" s="283"/>
      <c r="H57" s="293"/>
      <c r="I57" s="293"/>
      <c r="J57" s="293"/>
    </row>
    <row r="58" spans="1:10" ht="15">
      <c r="A58" s="13" t="s">
        <v>150</v>
      </c>
      <c r="B58" s="28" t="s">
        <v>151</v>
      </c>
      <c r="C58" s="506" t="s">
        <v>152</v>
      </c>
      <c r="D58" s="506"/>
      <c r="E58" s="506"/>
      <c r="F58" s="506"/>
      <c r="G58" s="287">
        <f>SUM(G56:G57)</f>
        <v>0</v>
      </c>
      <c r="H58" s="293"/>
      <c r="I58" s="293"/>
      <c r="J58" s="293"/>
    </row>
    <row r="59" spans="1:10" ht="15">
      <c r="A59" s="36"/>
      <c r="B59" s="2"/>
      <c r="C59" s="2"/>
      <c r="D59" s="2"/>
      <c r="E59" s="2"/>
      <c r="F59" s="2"/>
      <c r="G59" s="269"/>
      <c r="H59" s="280"/>
      <c r="I59" s="280"/>
      <c r="J59" s="280"/>
    </row>
    <row r="60" spans="1:10" ht="15">
      <c r="A60" s="37"/>
      <c r="B60" s="38" t="s">
        <v>153</v>
      </c>
      <c r="C60" s="510"/>
      <c r="D60" s="510"/>
      <c r="E60" s="510"/>
      <c r="F60" s="510"/>
      <c r="G60" s="294">
        <f>G51+G58</f>
        <v>18687417.060000002</v>
      </c>
      <c r="H60" s="280"/>
      <c r="I60" s="280"/>
      <c r="J60" s="280"/>
    </row>
    <row r="61" spans="1:10" ht="15">
      <c r="A61" s="36"/>
      <c r="B61" s="2"/>
      <c r="C61" s="2"/>
      <c r="D61" s="2"/>
      <c r="E61" s="2"/>
      <c r="F61" s="2"/>
      <c r="G61" s="269"/>
      <c r="H61" s="280"/>
      <c r="I61" s="280"/>
      <c r="J61" s="280"/>
    </row>
    <row r="62" spans="1:10" ht="15">
      <c r="A62" s="36"/>
      <c r="B62" s="59" t="s">
        <v>241</v>
      </c>
      <c r="C62" s="60"/>
      <c r="D62" s="60"/>
      <c r="E62" s="60"/>
      <c r="F62" s="60"/>
      <c r="G62" s="295">
        <f>11157946</f>
        <v>11157946</v>
      </c>
      <c r="H62" s="280"/>
      <c r="I62" s="280"/>
      <c r="J62" s="280"/>
    </row>
  </sheetData>
  <sheetProtection/>
  <mergeCells count="62">
    <mergeCell ref="C39:F39"/>
    <mergeCell ref="C43:F43"/>
    <mergeCell ref="C40:F40"/>
    <mergeCell ref="C44:F44"/>
    <mergeCell ref="C42:F42"/>
    <mergeCell ref="C41:F41"/>
    <mergeCell ref="C14:F14"/>
    <mergeCell ref="C15:F15"/>
    <mergeCell ref="C22:F22"/>
    <mergeCell ref="C27:F27"/>
    <mergeCell ref="C30:F30"/>
    <mergeCell ref="C34:F34"/>
    <mergeCell ref="C18:F18"/>
    <mergeCell ref="C19:F19"/>
    <mergeCell ref="C20:F20"/>
    <mergeCell ref="C17:F17"/>
    <mergeCell ref="A3:G3"/>
    <mergeCell ref="A4:G4"/>
    <mergeCell ref="A5:A6"/>
    <mergeCell ref="B5:B6"/>
    <mergeCell ref="C5:F6"/>
    <mergeCell ref="G5:G6"/>
    <mergeCell ref="A1:J1"/>
    <mergeCell ref="H5:J5"/>
    <mergeCell ref="C7:F7"/>
    <mergeCell ref="C11:F11"/>
    <mergeCell ref="C13:F13"/>
    <mergeCell ref="C16:F16"/>
    <mergeCell ref="C8:F8"/>
    <mergeCell ref="C9:F9"/>
    <mergeCell ref="C10:F10"/>
    <mergeCell ref="C12:F12"/>
    <mergeCell ref="G54:G55"/>
    <mergeCell ref="C25:F25"/>
    <mergeCell ref="C26:F26"/>
    <mergeCell ref="C28:F28"/>
    <mergeCell ref="C29:F29"/>
    <mergeCell ref="C31:F31"/>
    <mergeCell ref="C32:F32"/>
    <mergeCell ref="C45:F45"/>
    <mergeCell ref="C46:F46"/>
    <mergeCell ref="C47:F47"/>
    <mergeCell ref="C56:F56"/>
    <mergeCell ref="C57:F57"/>
    <mergeCell ref="C58:F58"/>
    <mergeCell ref="C21:F21"/>
    <mergeCell ref="C23:F23"/>
    <mergeCell ref="C24:F24"/>
    <mergeCell ref="C48:F48"/>
    <mergeCell ref="C49:F49"/>
    <mergeCell ref="C50:F50"/>
    <mergeCell ref="C38:F38"/>
    <mergeCell ref="C60:F60"/>
    <mergeCell ref="C33:F33"/>
    <mergeCell ref="C51:F51"/>
    <mergeCell ref="A53:G53"/>
    <mergeCell ref="A54:A55"/>
    <mergeCell ref="B54:B55"/>
    <mergeCell ref="C54:F55"/>
    <mergeCell ref="C35:F35"/>
    <mergeCell ref="C37:F37"/>
    <mergeCell ref="C36:F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zoomScalePageLayoutView="0" workbookViewId="0" topLeftCell="A19">
      <selection activeCell="H31" sqref="H31"/>
    </sheetView>
  </sheetViews>
  <sheetFormatPr defaultColWidth="9.140625" defaultRowHeight="15"/>
  <cols>
    <col min="1" max="1" width="27.28125" style="344" customWidth="1"/>
    <col min="2" max="2" width="27.57421875" style="354" customWidth="1"/>
    <col min="3" max="3" width="16.140625" style="344" bestFit="1" customWidth="1"/>
    <col min="4" max="4" width="12.7109375" style="344" customWidth="1"/>
    <col min="5" max="6" width="14.57421875" style="344" bestFit="1" customWidth="1"/>
    <col min="7" max="7" width="12.7109375" style="344" customWidth="1"/>
    <col min="8" max="8" width="14.57421875" style="344" bestFit="1" customWidth="1"/>
    <col min="9" max="11" width="12.7109375" style="344" customWidth="1"/>
    <col min="12" max="13" width="9.140625" style="344" customWidth="1"/>
    <col min="14" max="14" width="32.00390625" style="344" bestFit="1" customWidth="1"/>
    <col min="15" max="15" width="12.421875" style="344" bestFit="1" customWidth="1"/>
    <col min="16" max="17" width="20.7109375" style="344" bestFit="1" customWidth="1"/>
    <col min="18" max="18" width="21.8515625" style="344" bestFit="1" customWidth="1"/>
    <col min="19" max="19" width="20.7109375" style="344" bestFit="1" customWidth="1"/>
    <col min="20" max="20" width="21.8515625" style="344" bestFit="1" customWidth="1"/>
    <col min="21" max="21" width="32.28125" style="344" customWidth="1"/>
    <col min="22" max="22" width="14.57421875" style="344" bestFit="1" customWidth="1"/>
    <col min="23" max="23" width="23.57421875" style="344" bestFit="1" customWidth="1"/>
    <col min="24" max="16384" width="9.140625" style="344" customWidth="1"/>
  </cols>
  <sheetData>
    <row r="1" spans="1:11" ht="15">
      <c r="A1" s="564" t="s">
        <v>267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1" ht="15">
      <c r="A2" s="1"/>
      <c r="B2" s="407"/>
      <c r="C2" s="1"/>
      <c r="D2" s="1"/>
      <c r="E2" s="1"/>
      <c r="F2" s="1"/>
      <c r="G2" s="1"/>
      <c r="H2" s="1"/>
      <c r="I2" s="1"/>
      <c r="J2" s="1"/>
      <c r="K2" s="113"/>
    </row>
    <row r="3" spans="1:27" ht="15.75" thickBot="1">
      <c r="A3" s="101"/>
      <c r="B3" s="353"/>
      <c r="C3" s="113"/>
      <c r="D3" s="114"/>
      <c r="E3" s="115"/>
      <c r="F3" s="115"/>
      <c r="G3" s="115"/>
      <c r="H3" s="115"/>
      <c r="I3" s="113"/>
      <c r="J3" s="565"/>
      <c r="K3" s="565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</row>
    <row r="4" spans="1:27" ht="15">
      <c r="A4" s="566" t="s">
        <v>255</v>
      </c>
      <c r="B4" s="568" t="s">
        <v>242</v>
      </c>
      <c r="C4" s="570" t="s">
        <v>123</v>
      </c>
      <c r="D4" s="571"/>
      <c r="E4" s="572"/>
      <c r="F4" s="570" t="s">
        <v>132</v>
      </c>
      <c r="G4" s="571"/>
      <c r="H4" s="573"/>
      <c r="I4" s="570" t="s">
        <v>256</v>
      </c>
      <c r="J4" s="571"/>
      <c r="K4" s="572"/>
      <c r="N4" s="467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9"/>
      <c r="AA4" s="413"/>
    </row>
    <row r="5" spans="1:27" ht="26.25" thickBot="1">
      <c r="A5" s="567"/>
      <c r="B5" s="569"/>
      <c r="C5" s="318" t="s">
        <v>248</v>
      </c>
      <c r="D5" s="319" t="s">
        <v>249</v>
      </c>
      <c r="E5" s="320" t="s">
        <v>250</v>
      </c>
      <c r="F5" s="318" t="s">
        <v>248</v>
      </c>
      <c r="G5" s="319" t="s">
        <v>249</v>
      </c>
      <c r="H5" s="327" t="s">
        <v>250</v>
      </c>
      <c r="I5" s="116" t="s">
        <v>248</v>
      </c>
      <c r="J5" s="117" t="s">
        <v>249</v>
      </c>
      <c r="K5" s="118" t="s">
        <v>250</v>
      </c>
      <c r="N5" s="470"/>
      <c r="O5" s="471"/>
      <c r="P5" s="471"/>
      <c r="Q5" s="471"/>
      <c r="R5" s="471"/>
      <c r="S5" s="471"/>
      <c r="T5" s="471"/>
      <c r="U5" s="470"/>
      <c r="V5" s="470"/>
      <c r="W5" s="470"/>
      <c r="X5" s="470"/>
      <c r="Y5" s="470"/>
      <c r="Z5" s="469"/>
      <c r="AA5" s="413"/>
    </row>
    <row r="6" spans="1:27" ht="15">
      <c r="A6" s="315" t="s">
        <v>257</v>
      </c>
      <c r="B6" s="364" t="s">
        <v>258</v>
      </c>
      <c r="C6" s="359"/>
      <c r="D6" s="123"/>
      <c r="E6" s="124"/>
      <c r="F6" s="122"/>
      <c r="G6" s="123">
        <f>1486709*1.27</f>
        <v>1888120.43</v>
      </c>
      <c r="H6" s="325">
        <f>G6</f>
        <v>1888120.43</v>
      </c>
      <c r="I6" s="121"/>
      <c r="J6" s="119"/>
      <c r="K6" s="120"/>
      <c r="N6" s="413"/>
      <c r="O6" s="472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69"/>
      <c r="AA6" s="413"/>
    </row>
    <row r="7" spans="1:27" ht="15">
      <c r="A7" s="316" t="s">
        <v>259</v>
      </c>
      <c r="B7" s="406" t="s">
        <v>406</v>
      </c>
      <c r="C7" s="360">
        <f>(12415295*1.27)</f>
        <v>15767424.65</v>
      </c>
      <c r="D7" s="123"/>
      <c r="E7" s="124">
        <f>C7</f>
        <v>15767424.65</v>
      </c>
      <c r="F7" s="122"/>
      <c r="G7" s="123"/>
      <c r="H7" s="325"/>
      <c r="I7" s="122"/>
      <c r="J7" s="123"/>
      <c r="K7" s="124"/>
      <c r="N7" s="413"/>
      <c r="O7" s="472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69"/>
      <c r="AA7" s="413"/>
    </row>
    <row r="8" spans="1:27" ht="15">
      <c r="A8" s="316" t="s">
        <v>259</v>
      </c>
      <c r="B8" s="406" t="s">
        <v>439</v>
      </c>
      <c r="C8" s="371">
        <f>(16812371*1.27)+27028820</f>
        <v>48380531.17</v>
      </c>
      <c r="D8" s="123"/>
      <c r="E8" s="124">
        <f>C8</f>
        <v>48380531.17</v>
      </c>
      <c r="F8" s="122"/>
      <c r="G8" s="123"/>
      <c r="H8" s="325"/>
      <c r="I8" s="122"/>
      <c r="J8" s="123"/>
      <c r="K8" s="124"/>
      <c r="N8" s="413"/>
      <c r="O8" s="472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69"/>
      <c r="AA8" s="413"/>
    </row>
    <row r="9" spans="1:27" ht="15">
      <c r="A9" s="316" t="s">
        <v>259</v>
      </c>
      <c r="B9" s="365" t="s">
        <v>260</v>
      </c>
      <c r="C9" s="361"/>
      <c r="D9" s="321"/>
      <c r="E9" s="124"/>
      <c r="F9" s="122"/>
      <c r="G9" s="123">
        <f>11811024*1.27</f>
        <v>15000000.48</v>
      </c>
      <c r="H9" s="325">
        <f>G9</f>
        <v>15000000.48</v>
      </c>
      <c r="I9" s="122"/>
      <c r="J9" s="123"/>
      <c r="K9" s="124"/>
      <c r="N9" s="413"/>
      <c r="O9" s="472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69"/>
      <c r="AA9" s="413"/>
    </row>
    <row r="10" spans="1:27" ht="26.25">
      <c r="A10" s="316" t="s">
        <v>259</v>
      </c>
      <c r="B10" s="366" t="s">
        <v>437</v>
      </c>
      <c r="C10" s="361"/>
      <c r="D10" s="356">
        <f>6316215*1.27</f>
        <v>8021593.05</v>
      </c>
      <c r="E10" s="124">
        <f>D10</f>
        <v>8021593.05</v>
      </c>
      <c r="F10" s="122"/>
      <c r="G10" s="123"/>
      <c r="H10" s="325"/>
      <c r="I10" s="122"/>
      <c r="J10" s="123"/>
      <c r="K10" s="124"/>
      <c r="N10" s="413"/>
      <c r="O10" s="473"/>
      <c r="P10" s="474"/>
      <c r="Q10" s="474"/>
      <c r="R10" s="474"/>
      <c r="S10" s="474"/>
      <c r="T10" s="474"/>
      <c r="U10" s="413"/>
      <c r="V10" s="413"/>
      <c r="W10" s="413"/>
      <c r="X10" s="413"/>
      <c r="Y10" s="413"/>
      <c r="Z10" s="469"/>
      <c r="AA10" s="413"/>
    </row>
    <row r="11" spans="1:27" ht="26.25">
      <c r="A11" s="316" t="s">
        <v>259</v>
      </c>
      <c r="B11" s="405" t="s">
        <v>405</v>
      </c>
      <c r="C11" s="361"/>
      <c r="D11" s="123"/>
      <c r="E11" s="124"/>
      <c r="F11" s="122"/>
      <c r="G11" s="123">
        <f>3652098*1.27</f>
        <v>4638164.46</v>
      </c>
      <c r="H11" s="325">
        <f>G11</f>
        <v>4638164.46</v>
      </c>
      <c r="I11" s="122"/>
      <c r="J11" s="123"/>
      <c r="K11" s="124"/>
      <c r="N11" s="413"/>
      <c r="O11" s="473"/>
      <c r="P11" s="474"/>
      <c r="Q11" s="474"/>
      <c r="R11" s="474"/>
      <c r="S11" s="474"/>
      <c r="T11" s="474"/>
      <c r="U11" s="413"/>
      <c r="V11" s="413"/>
      <c r="W11" s="413"/>
      <c r="X11" s="413"/>
      <c r="Y11" s="413"/>
      <c r="Z11" s="469"/>
      <c r="AA11" s="413"/>
    </row>
    <row r="12" spans="1:27" s="402" customFormat="1" ht="26.25">
      <c r="A12" s="316" t="s">
        <v>259</v>
      </c>
      <c r="B12" s="405" t="s">
        <v>438</v>
      </c>
      <c r="C12" s="361">
        <f>(38858265*1.27)+2</f>
        <v>49349998.55</v>
      </c>
      <c r="D12" s="123"/>
      <c r="E12" s="124">
        <f>C12</f>
        <v>49349998.55</v>
      </c>
      <c r="F12" s="122"/>
      <c r="G12" s="123"/>
      <c r="H12" s="325"/>
      <c r="I12" s="122"/>
      <c r="J12" s="123"/>
      <c r="K12" s="124"/>
      <c r="N12" s="413"/>
      <c r="O12" s="473"/>
      <c r="P12" s="474"/>
      <c r="Q12" s="474"/>
      <c r="R12" s="474"/>
      <c r="S12" s="474"/>
      <c r="T12" s="474"/>
      <c r="U12" s="413"/>
      <c r="V12" s="413"/>
      <c r="W12" s="413"/>
      <c r="X12" s="413"/>
      <c r="Y12" s="413"/>
      <c r="Z12" s="469"/>
      <c r="AA12" s="413"/>
    </row>
    <row r="13" spans="1:27" ht="15">
      <c r="A13" s="316" t="s">
        <v>259</v>
      </c>
      <c r="B13" s="366" t="s">
        <v>407</v>
      </c>
      <c r="C13" s="361"/>
      <c r="D13" s="123"/>
      <c r="E13" s="124"/>
      <c r="F13" s="122"/>
      <c r="G13" s="123">
        <f>1500000*1.27</f>
        <v>1905000</v>
      </c>
      <c r="H13" s="325">
        <f>G13</f>
        <v>1905000</v>
      </c>
      <c r="I13" s="122"/>
      <c r="J13" s="123"/>
      <c r="K13" s="124"/>
      <c r="N13" s="574"/>
      <c r="O13" s="574"/>
      <c r="P13" s="574"/>
      <c r="Q13" s="574"/>
      <c r="R13" s="574"/>
      <c r="S13" s="574"/>
      <c r="T13" s="574"/>
      <c r="U13" s="574"/>
      <c r="V13" s="413"/>
      <c r="W13" s="413"/>
      <c r="X13" s="413"/>
      <c r="Y13" s="413"/>
      <c r="Z13" s="469"/>
      <c r="AA13" s="413"/>
    </row>
    <row r="14" spans="1:27" ht="15">
      <c r="A14" s="316" t="s">
        <v>259</v>
      </c>
      <c r="B14" s="367" t="s">
        <v>262</v>
      </c>
      <c r="C14" s="361"/>
      <c r="D14" s="123"/>
      <c r="E14" s="124"/>
      <c r="F14" s="122"/>
      <c r="G14" s="123">
        <f>(4803150*1.27)-1</f>
        <v>6099999.5</v>
      </c>
      <c r="H14" s="325">
        <f>G14</f>
        <v>6099999.5</v>
      </c>
      <c r="I14" s="127"/>
      <c r="J14" s="125"/>
      <c r="K14" s="126"/>
      <c r="N14" s="413"/>
      <c r="O14" s="475"/>
      <c r="P14" s="476"/>
      <c r="Q14" s="476"/>
      <c r="R14" s="476"/>
      <c r="S14" s="476"/>
      <c r="T14" s="575"/>
      <c r="U14" s="476"/>
      <c r="V14" s="476"/>
      <c r="W14" s="476"/>
      <c r="X14" s="476"/>
      <c r="Y14" s="476"/>
      <c r="Z14" s="469"/>
      <c r="AA14" s="413"/>
    </row>
    <row r="15" spans="1:27" ht="15">
      <c r="A15" s="316" t="s">
        <v>259</v>
      </c>
      <c r="B15" s="365" t="s">
        <v>263</v>
      </c>
      <c r="C15" s="361"/>
      <c r="D15" s="123">
        <f>3150000*1.27</f>
        <v>4000500</v>
      </c>
      <c r="E15" s="124">
        <f>D15</f>
        <v>4000500</v>
      </c>
      <c r="F15" s="122"/>
      <c r="G15" s="123"/>
      <c r="H15" s="325"/>
      <c r="I15" s="127"/>
      <c r="J15" s="125"/>
      <c r="K15" s="126"/>
      <c r="N15" s="413"/>
      <c r="O15" s="475"/>
      <c r="P15" s="476"/>
      <c r="Q15" s="476"/>
      <c r="R15" s="476"/>
      <c r="S15" s="476"/>
      <c r="T15" s="575"/>
      <c r="U15" s="476"/>
      <c r="V15" s="476"/>
      <c r="W15" s="476"/>
      <c r="X15" s="476"/>
      <c r="Y15" s="476"/>
      <c r="Z15" s="469"/>
      <c r="AA15" s="413"/>
    </row>
    <row r="16" spans="1:27" ht="15">
      <c r="A16" s="316" t="s">
        <v>259</v>
      </c>
      <c r="B16" s="365" t="s">
        <v>408</v>
      </c>
      <c r="C16" s="361"/>
      <c r="D16" s="123">
        <f>393701*1.27</f>
        <v>500000.27</v>
      </c>
      <c r="E16" s="124">
        <f>D16</f>
        <v>500000.27</v>
      </c>
      <c r="F16" s="122"/>
      <c r="G16" s="123"/>
      <c r="H16" s="325"/>
      <c r="I16" s="122"/>
      <c r="J16" s="123"/>
      <c r="K16" s="124"/>
      <c r="N16" s="413"/>
      <c r="O16" s="475"/>
      <c r="P16" s="476"/>
      <c r="Q16" s="476"/>
      <c r="R16" s="476"/>
      <c r="S16" s="476"/>
      <c r="T16" s="575"/>
      <c r="U16" s="476"/>
      <c r="V16" s="476"/>
      <c r="W16" s="476"/>
      <c r="X16" s="476"/>
      <c r="Y16" s="476"/>
      <c r="Z16" s="469"/>
      <c r="AA16" s="413"/>
    </row>
    <row r="17" spans="1:27" s="404" customFormat="1" ht="25.5">
      <c r="A17" s="316" t="s">
        <v>259</v>
      </c>
      <c r="B17" s="365" t="s">
        <v>442</v>
      </c>
      <c r="C17" s="361"/>
      <c r="D17" s="123">
        <v>15000000</v>
      </c>
      <c r="E17" s="124">
        <f>D17</f>
        <v>15000000</v>
      </c>
      <c r="F17" s="122"/>
      <c r="G17" s="123">
        <v>2785000</v>
      </c>
      <c r="H17" s="325">
        <f>G17</f>
        <v>2785000</v>
      </c>
      <c r="I17" s="122"/>
      <c r="J17" s="123"/>
      <c r="K17" s="124"/>
      <c r="N17" s="413"/>
      <c r="O17" s="475"/>
      <c r="P17" s="476"/>
      <c r="Q17" s="476"/>
      <c r="R17" s="476"/>
      <c r="S17" s="476"/>
      <c r="T17" s="477"/>
      <c r="U17" s="476"/>
      <c r="V17" s="476"/>
      <c r="W17" s="476"/>
      <c r="X17" s="476"/>
      <c r="Y17" s="476"/>
      <c r="Z17" s="469"/>
      <c r="AA17" s="413"/>
    </row>
    <row r="18" spans="1:27" ht="15">
      <c r="A18" s="316" t="s">
        <v>259</v>
      </c>
      <c r="B18" s="365" t="s">
        <v>409</v>
      </c>
      <c r="C18" s="361"/>
      <c r="D18" s="123"/>
      <c r="E18" s="124"/>
      <c r="F18" s="122"/>
      <c r="G18" s="123">
        <f>401786*1.27</f>
        <v>510268.22000000003</v>
      </c>
      <c r="H18" s="325">
        <f>G18</f>
        <v>510268.22000000003</v>
      </c>
      <c r="I18" s="122"/>
      <c r="J18" s="123"/>
      <c r="K18" s="124"/>
      <c r="N18" s="413"/>
      <c r="O18" s="478"/>
      <c r="P18" s="478"/>
      <c r="Q18" s="478"/>
      <c r="R18" s="478"/>
      <c r="S18" s="478"/>
      <c r="T18" s="478"/>
      <c r="U18" s="478"/>
      <c r="V18" s="475"/>
      <c r="W18" s="475"/>
      <c r="X18" s="475"/>
      <c r="Y18" s="475"/>
      <c r="Z18" s="469"/>
      <c r="AA18" s="413"/>
    </row>
    <row r="19" spans="1:27" ht="51">
      <c r="A19" s="316" t="s">
        <v>264</v>
      </c>
      <c r="B19" s="365" t="s">
        <v>261</v>
      </c>
      <c r="C19" s="361"/>
      <c r="D19" s="123">
        <v>1778000</v>
      </c>
      <c r="E19" s="124">
        <f>D19</f>
        <v>1778000</v>
      </c>
      <c r="F19" s="122"/>
      <c r="G19" s="123"/>
      <c r="H19" s="325"/>
      <c r="I19" s="122"/>
      <c r="J19" s="123"/>
      <c r="K19" s="124"/>
      <c r="N19" s="562"/>
      <c r="O19" s="562"/>
      <c r="P19" s="562"/>
      <c r="Q19" s="562"/>
      <c r="R19" s="562"/>
      <c r="S19" s="562"/>
      <c r="T19" s="562"/>
      <c r="U19" s="562"/>
      <c r="V19" s="479"/>
      <c r="W19" s="476"/>
      <c r="X19" s="476"/>
      <c r="Y19" s="476"/>
      <c r="Z19" s="469"/>
      <c r="AA19" s="413"/>
    </row>
    <row r="20" spans="1:27" ht="25.5">
      <c r="A20" s="316" t="s">
        <v>265</v>
      </c>
      <c r="B20" s="365" t="s">
        <v>261</v>
      </c>
      <c r="C20" s="361"/>
      <c r="D20" s="123">
        <v>1766200</v>
      </c>
      <c r="E20" s="124">
        <f>D20</f>
        <v>1766200</v>
      </c>
      <c r="F20" s="122"/>
      <c r="G20" s="123"/>
      <c r="H20" s="325"/>
      <c r="I20" s="122"/>
      <c r="J20" s="123"/>
      <c r="K20" s="124"/>
      <c r="N20" s="480"/>
      <c r="O20" s="481"/>
      <c r="P20" s="480"/>
      <c r="Q20" s="480"/>
      <c r="R20" s="480"/>
      <c r="S20" s="480"/>
      <c r="T20" s="482"/>
      <c r="U20" s="480"/>
      <c r="V20" s="479"/>
      <c r="W20" s="476"/>
      <c r="X20" s="476"/>
      <c r="Y20" s="476"/>
      <c r="Z20" s="469"/>
      <c r="AA20" s="413"/>
    </row>
    <row r="21" spans="1:27" ht="25.5">
      <c r="A21" s="315" t="s">
        <v>266</v>
      </c>
      <c r="B21" s="365" t="s">
        <v>261</v>
      </c>
      <c r="C21" s="361"/>
      <c r="D21" s="123">
        <f>2362205*1.27</f>
        <v>3000000.35</v>
      </c>
      <c r="E21" s="124">
        <f>D21</f>
        <v>3000000.35</v>
      </c>
      <c r="F21" s="122"/>
      <c r="G21" s="123"/>
      <c r="H21" s="325"/>
      <c r="I21" s="122"/>
      <c r="J21" s="123"/>
      <c r="K21" s="124"/>
      <c r="N21" s="480"/>
      <c r="O21" s="481"/>
      <c r="P21" s="480"/>
      <c r="Q21" s="480"/>
      <c r="R21" s="480"/>
      <c r="S21" s="480"/>
      <c r="T21" s="482"/>
      <c r="U21" s="480"/>
      <c r="V21" s="479"/>
      <c r="W21" s="476"/>
      <c r="X21" s="476"/>
      <c r="Y21" s="476"/>
      <c r="Z21" s="469"/>
      <c r="AA21" s="413"/>
    </row>
    <row r="22" spans="1:27" ht="17.25">
      <c r="A22" s="357" t="s">
        <v>425</v>
      </c>
      <c r="B22" s="368" t="s">
        <v>244</v>
      </c>
      <c r="C22" s="361"/>
      <c r="D22" s="123">
        <v>800000</v>
      </c>
      <c r="E22" s="124">
        <f>D22</f>
        <v>800000</v>
      </c>
      <c r="F22" s="122"/>
      <c r="G22" s="123"/>
      <c r="H22" s="325"/>
      <c r="I22" s="122"/>
      <c r="J22" s="123"/>
      <c r="K22" s="124"/>
      <c r="N22" s="480"/>
      <c r="O22" s="481"/>
      <c r="P22" s="480"/>
      <c r="Q22" s="480"/>
      <c r="R22" s="480"/>
      <c r="S22" s="480"/>
      <c r="T22" s="482"/>
      <c r="U22" s="480"/>
      <c r="V22" s="479"/>
      <c r="W22" s="476"/>
      <c r="X22" s="476"/>
      <c r="Y22" s="476"/>
      <c r="Z22" s="469"/>
      <c r="AA22" s="413"/>
    </row>
    <row r="23" spans="1:27" ht="28.5">
      <c r="A23" s="346" t="s">
        <v>410</v>
      </c>
      <c r="B23" s="408" t="s">
        <v>411</v>
      </c>
      <c r="C23" s="362"/>
      <c r="D23" s="370">
        <v>80000</v>
      </c>
      <c r="E23" s="369">
        <f>D23</f>
        <v>80000</v>
      </c>
      <c r="F23" s="122"/>
      <c r="G23" s="123"/>
      <c r="H23" s="325"/>
      <c r="I23" s="122"/>
      <c r="J23" s="123"/>
      <c r="K23" s="124"/>
      <c r="N23" s="480"/>
      <c r="O23" s="480"/>
      <c r="P23" s="480"/>
      <c r="Q23" s="480"/>
      <c r="R23" s="480"/>
      <c r="S23" s="480"/>
      <c r="T23" s="480"/>
      <c r="U23" s="480"/>
      <c r="V23" s="479"/>
      <c r="W23" s="476"/>
      <c r="X23" s="413"/>
      <c r="Y23" s="413"/>
      <c r="Z23" s="469"/>
      <c r="AA23" s="413"/>
    </row>
    <row r="24" spans="1:27" ht="18" thickBot="1">
      <c r="A24" s="347" t="s">
        <v>412</v>
      </c>
      <c r="B24" s="366" t="s">
        <v>413</v>
      </c>
      <c r="C24" s="363"/>
      <c r="D24" s="348"/>
      <c r="E24" s="322"/>
      <c r="F24" s="323"/>
      <c r="G24" s="324">
        <f>500000*1.27</f>
        <v>635000</v>
      </c>
      <c r="H24" s="326">
        <f>G24</f>
        <v>635000</v>
      </c>
      <c r="I24" s="323"/>
      <c r="J24" s="324"/>
      <c r="K24" s="322"/>
      <c r="N24" s="480"/>
      <c r="O24" s="480"/>
      <c r="P24" s="480"/>
      <c r="Q24" s="480"/>
      <c r="R24" s="480"/>
      <c r="S24" s="480"/>
      <c r="T24" s="480"/>
      <c r="U24" s="480"/>
      <c r="V24" s="479"/>
      <c r="W24" s="413"/>
      <c r="X24" s="413"/>
      <c r="Y24" s="413"/>
      <c r="Z24" s="469"/>
      <c r="AA24" s="413"/>
    </row>
    <row r="25" spans="1:27" ht="18" thickBot="1">
      <c r="A25" s="358" t="s">
        <v>253</v>
      </c>
      <c r="B25" s="311"/>
      <c r="C25" s="317">
        <f>SUM(C6:C24)</f>
        <v>113497954.37</v>
      </c>
      <c r="D25" s="313">
        <f>SUM(D6:D24)</f>
        <v>34946293.67</v>
      </c>
      <c r="E25" s="314">
        <f>SUM(C25:D25)</f>
        <v>148444248.04000002</v>
      </c>
      <c r="F25" s="317">
        <f>SUM(F6:F24)</f>
        <v>0</v>
      </c>
      <c r="G25" s="313">
        <f>SUM(G6:G24)</f>
        <v>33461553.09</v>
      </c>
      <c r="H25" s="314">
        <f>SUM(H6:H24)</f>
        <v>33461553.09</v>
      </c>
      <c r="I25" s="312">
        <f>SUM(I6:I21)</f>
        <v>0</v>
      </c>
      <c r="J25" s="313">
        <f>SUM(J6:J21)</f>
        <v>0</v>
      </c>
      <c r="K25" s="314">
        <f>SUM(K6:K21)</f>
        <v>0</v>
      </c>
      <c r="N25" s="480"/>
      <c r="O25" s="480"/>
      <c r="P25" s="480"/>
      <c r="Q25" s="480"/>
      <c r="R25" s="480"/>
      <c r="S25" s="480"/>
      <c r="T25" s="480"/>
      <c r="U25" s="480"/>
      <c r="V25" s="479"/>
      <c r="W25" s="413"/>
      <c r="X25" s="413"/>
      <c r="Y25" s="413"/>
      <c r="Z25" s="469"/>
      <c r="AA25" s="413"/>
    </row>
    <row r="26" spans="14:27" ht="17.25">
      <c r="N26" s="480"/>
      <c r="O26" s="480"/>
      <c r="P26" s="480"/>
      <c r="Q26" s="480"/>
      <c r="R26" s="480"/>
      <c r="S26" s="480"/>
      <c r="T26" s="480"/>
      <c r="U26" s="480"/>
      <c r="V26" s="479"/>
      <c r="W26" s="413"/>
      <c r="X26" s="413"/>
      <c r="Y26" s="413"/>
      <c r="Z26" s="469"/>
      <c r="AA26" s="413"/>
    </row>
    <row r="27" spans="5:27" ht="17.25">
      <c r="E27" s="310"/>
      <c r="F27" s="310"/>
      <c r="H27" s="310"/>
      <c r="N27" s="563"/>
      <c r="O27" s="563"/>
      <c r="P27" s="563"/>
      <c r="Q27" s="563"/>
      <c r="R27" s="563"/>
      <c r="S27" s="563"/>
      <c r="T27" s="563"/>
      <c r="U27" s="563"/>
      <c r="V27" s="483"/>
      <c r="W27" s="413"/>
      <c r="X27" s="413"/>
      <c r="Y27" s="413"/>
      <c r="Z27" s="469"/>
      <c r="AA27" s="413"/>
    </row>
    <row r="28" spans="6:27" ht="17.25">
      <c r="F28" s="310"/>
      <c r="N28" s="484"/>
      <c r="O28" s="485"/>
      <c r="P28" s="484"/>
      <c r="Q28" s="484"/>
      <c r="R28" s="484"/>
      <c r="S28" s="484"/>
      <c r="T28" s="484"/>
      <c r="U28" s="484"/>
      <c r="V28" s="479"/>
      <c r="W28" s="413"/>
      <c r="X28" s="413"/>
      <c r="Y28" s="413"/>
      <c r="Z28" s="469"/>
      <c r="AA28" s="413"/>
    </row>
    <row r="29" spans="14:27" ht="17.25">
      <c r="N29" s="484"/>
      <c r="O29" s="485"/>
      <c r="P29" s="484"/>
      <c r="Q29" s="484"/>
      <c r="R29" s="484"/>
      <c r="S29" s="484"/>
      <c r="T29" s="484"/>
      <c r="U29" s="484"/>
      <c r="V29" s="479"/>
      <c r="W29" s="413"/>
      <c r="X29" s="413"/>
      <c r="Y29" s="413"/>
      <c r="Z29" s="469"/>
      <c r="AA29" s="413"/>
    </row>
    <row r="30" spans="14:27" ht="17.25">
      <c r="N30" s="484"/>
      <c r="O30" s="485"/>
      <c r="P30" s="484"/>
      <c r="Q30" s="484"/>
      <c r="R30" s="484"/>
      <c r="S30" s="484"/>
      <c r="T30" s="484"/>
      <c r="U30" s="484"/>
      <c r="V30" s="479"/>
      <c r="W30" s="413"/>
      <c r="X30" s="413"/>
      <c r="Y30" s="413"/>
      <c r="Z30" s="469"/>
      <c r="AA30" s="413"/>
    </row>
    <row r="31" spans="4:27" ht="17.25">
      <c r="D31" s="343"/>
      <c r="N31" s="484"/>
      <c r="O31" s="484"/>
      <c r="P31" s="484"/>
      <c r="Q31" s="484"/>
      <c r="R31" s="484"/>
      <c r="S31" s="484"/>
      <c r="T31" s="484"/>
      <c r="U31" s="484"/>
      <c r="V31" s="479"/>
      <c r="W31" s="413"/>
      <c r="X31" s="413"/>
      <c r="Y31" s="413"/>
      <c r="Z31" s="469"/>
      <c r="AA31" s="413"/>
    </row>
    <row r="32" spans="14:27" ht="17.25">
      <c r="N32" s="484"/>
      <c r="O32" s="484"/>
      <c r="P32" s="484"/>
      <c r="Q32" s="484"/>
      <c r="R32" s="484"/>
      <c r="S32" s="484"/>
      <c r="T32" s="484"/>
      <c r="U32" s="486"/>
      <c r="V32" s="479"/>
      <c r="W32" s="413"/>
      <c r="X32" s="413"/>
      <c r="Y32" s="413"/>
      <c r="Z32" s="469"/>
      <c r="AA32" s="413"/>
    </row>
    <row r="33" spans="14:27" ht="17.25">
      <c r="N33" s="484"/>
      <c r="O33" s="484"/>
      <c r="P33" s="484"/>
      <c r="Q33" s="484"/>
      <c r="R33" s="484"/>
      <c r="S33" s="484"/>
      <c r="T33" s="484"/>
      <c r="U33" s="487"/>
      <c r="V33" s="479"/>
      <c r="W33" s="413"/>
      <c r="X33" s="413"/>
      <c r="Y33" s="413"/>
      <c r="Z33" s="469"/>
      <c r="AA33" s="413"/>
    </row>
    <row r="34" spans="14:27" ht="17.25">
      <c r="N34" s="484"/>
      <c r="O34" s="484"/>
      <c r="P34" s="484"/>
      <c r="Q34" s="484"/>
      <c r="R34" s="484"/>
      <c r="S34" s="484"/>
      <c r="T34" s="484"/>
      <c r="U34" s="487"/>
      <c r="V34" s="479"/>
      <c r="W34" s="413"/>
      <c r="X34" s="413"/>
      <c r="Y34" s="413"/>
      <c r="Z34" s="469"/>
      <c r="AA34" s="413"/>
    </row>
    <row r="35" spans="14:27" ht="17.25">
      <c r="N35" s="562"/>
      <c r="O35" s="562"/>
      <c r="P35" s="562"/>
      <c r="Q35" s="562"/>
      <c r="R35" s="562"/>
      <c r="S35" s="562"/>
      <c r="T35" s="562"/>
      <c r="U35" s="562"/>
      <c r="V35" s="488"/>
      <c r="W35" s="413"/>
      <c r="X35" s="413"/>
      <c r="Y35" s="413"/>
      <c r="Z35" s="469"/>
      <c r="AA35" s="413"/>
    </row>
    <row r="36" spans="14:27" ht="17.25">
      <c r="N36" s="480"/>
      <c r="O36" s="481"/>
      <c r="P36" s="481"/>
      <c r="Q36" s="481"/>
      <c r="R36" s="481"/>
      <c r="S36" s="481"/>
      <c r="T36" s="481"/>
      <c r="U36" s="481"/>
      <c r="V36" s="489"/>
      <c r="W36" s="476"/>
      <c r="X36" s="476"/>
      <c r="Y36" s="413"/>
      <c r="Z36" s="469"/>
      <c r="AA36" s="413"/>
    </row>
    <row r="37" spans="14:27" ht="17.25">
      <c r="N37" s="480"/>
      <c r="O37" s="481"/>
      <c r="P37" s="481"/>
      <c r="Q37" s="481"/>
      <c r="R37" s="481"/>
      <c r="S37" s="481"/>
      <c r="T37" s="481"/>
      <c r="U37" s="481"/>
      <c r="V37" s="489"/>
      <c r="W37" s="476"/>
      <c r="X37" s="476"/>
      <c r="Y37" s="413"/>
      <c r="Z37" s="469"/>
      <c r="AA37" s="413"/>
    </row>
    <row r="38" spans="14:27" ht="17.25">
      <c r="N38" s="480"/>
      <c r="O38" s="481"/>
      <c r="P38" s="481"/>
      <c r="Q38" s="481"/>
      <c r="R38" s="481"/>
      <c r="S38" s="481"/>
      <c r="T38" s="481"/>
      <c r="U38" s="481"/>
      <c r="V38" s="489"/>
      <c r="W38" s="476"/>
      <c r="X38" s="476"/>
      <c r="Y38" s="413"/>
      <c r="Z38" s="469"/>
      <c r="AA38" s="413"/>
    </row>
    <row r="39" spans="14:27" ht="17.25">
      <c r="N39" s="480"/>
      <c r="O39" s="480"/>
      <c r="P39" s="480"/>
      <c r="Q39" s="480"/>
      <c r="R39" s="480"/>
      <c r="S39" s="480"/>
      <c r="T39" s="480"/>
      <c r="U39" s="480"/>
      <c r="V39" s="489"/>
      <c r="W39" s="476"/>
      <c r="X39" s="476"/>
      <c r="Y39" s="413"/>
      <c r="Z39" s="469"/>
      <c r="AA39" s="413"/>
    </row>
    <row r="40" spans="14:27" ht="17.25">
      <c r="N40" s="480"/>
      <c r="O40" s="480"/>
      <c r="P40" s="480"/>
      <c r="Q40" s="480"/>
      <c r="R40" s="480"/>
      <c r="S40" s="480"/>
      <c r="T40" s="480"/>
      <c r="U40" s="480"/>
      <c r="V40" s="489"/>
      <c r="W40" s="476"/>
      <c r="X40" s="476"/>
      <c r="Y40" s="413"/>
      <c r="Z40" s="469"/>
      <c r="AA40" s="413"/>
    </row>
    <row r="41" spans="14:27" ht="17.25">
      <c r="N41" s="480"/>
      <c r="O41" s="480"/>
      <c r="P41" s="480"/>
      <c r="Q41" s="480"/>
      <c r="R41" s="480"/>
      <c r="S41" s="480"/>
      <c r="T41" s="480"/>
      <c r="U41" s="480"/>
      <c r="V41" s="489"/>
      <c r="W41" s="476"/>
      <c r="X41" s="476"/>
      <c r="Y41" s="413"/>
      <c r="Z41" s="469"/>
      <c r="AA41" s="413"/>
    </row>
    <row r="42" spans="14:27" ht="17.25">
      <c r="N42" s="480"/>
      <c r="O42" s="480"/>
      <c r="P42" s="480"/>
      <c r="Q42" s="480"/>
      <c r="R42" s="480"/>
      <c r="S42" s="480"/>
      <c r="T42" s="480"/>
      <c r="U42" s="480"/>
      <c r="V42" s="489"/>
      <c r="W42" s="476"/>
      <c r="X42" s="476"/>
      <c r="Y42" s="413"/>
      <c r="Z42" s="469"/>
      <c r="AA42" s="413"/>
    </row>
    <row r="43" spans="14:27" ht="15">
      <c r="N43" s="413"/>
      <c r="O43" s="476"/>
      <c r="P43" s="476"/>
      <c r="Q43" s="490"/>
      <c r="R43" s="476"/>
      <c r="S43" s="476"/>
      <c r="T43" s="476"/>
      <c r="U43" s="476"/>
      <c r="V43" s="413"/>
      <c r="W43" s="413"/>
      <c r="X43" s="413"/>
      <c r="Y43" s="413"/>
      <c r="Z43" s="469"/>
      <c r="AA43" s="413"/>
    </row>
    <row r="44" spans="14:27" ht="15">
      <c r="N44" s="413"/>
      <c r="O44" s="413"/>
      <c r="P44" s="413"/>
      <c r="Q44" s="413"/>
      <c r="R44" s="413"/>
      <c r="S44" s="413"/>
      <c r="T44" s="413"/>
      <c r="U44" s="413"/>
      <c r="V44" s="413"/>
      <c r="W44" s="413"/>
      <c r="X44" s="413"/>
      <c r="Y44" s="413"/>
      <c r="Z44" s="469"/>
      <c r="AA44" s="413"/>
    </row>
    <row r="45" spans="14:27" ht="15">
      <c r="N45" s="413"/>
      <c r="O45" s="413"/>
      <c r="P45" s="476"/>
      <c r="Q45" s="476"/>
      <c r="R45" s="413"/>
      <c r="S45" s="413"/>
      <c r="T45" s="413"/>
      <c r="U45" s="413"/>
      <c r="V45" s="413"/>
      <c r="W45" s="413"/>
      <c r="X45" s="413"/>
      <c r="Y45" s="413"/>
      <c r="Z45" s="469"/>
      <c r="AA45" s="413"/>
    </row>
    <row r="46" spans="14:27" ht="15">
      <c r="N46" s="413"/>
      <c r="O46" s="413"/>
      <c r="P46" s="413"/>
      <c r="Q46" s="476"/>
      <c r="R46" s="413"/>
      <c r="S46" s="413"/>
      <c r="T46" s="413"/>
      <c r="U46" s="413"/>
      <c r="V46" s="413"/>
      <c r="W46" s="413"/>
      <c r="X46" s="413"/>
      <c r="Y46" s="413"/>
      <c r="Z46" s="469"/>
      <c r="AA46" s="413"/>
    </row>
    <row r="47" spans="14:27" ht="15"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69"/>
      <c r="AA47" s="413"/>
    </row>
    <row r="48" spans="14:27" ht="15">
      <c r="N48" s="413"/>
      <c r="O48" s="413"/>
      <c r="P48" s="413"/>
      <c r="Q48" s="413"/>
      <c r="R48" s="413"/>
      <c r="S48" s="413"/>
      <c r="T48" s="413"/>
      <c r="U48" s="476"/>
      <c r="V48" s="413"/>
      <c r="W48" s="413"/>
      <c r="X48" s="413"/>
      <c r="Y48" s="413"/>
      <c r="Z48" s="413"/>
      <c r="AA48" s="413"/>
    </row>
    <row r="49" spans="14:27" ht="15"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</row>
  </sheetData>
  <sheetProtection/>
  <mergeCells count="12">
    <mergeCell ref="N13:U13"/>
    <mergeCell ref="T14:T16"/>
    <mergeCell ref="N19:U19"/>
    <mergeCell ref="N27:U27"/>
    <mergeCell ref="N35:U35"/>
    <mergeCell ref="A1:K1"/>
    <mergeCell ref="J3:K3"/>
    <mergeCell ref="A4:A5"/>
    <mergeCell ref="B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1.7109375" style="0" customWidth="1"/>
    <col min="2" max="5" width="20.7109375" style="0" customWidth="1"/>
    <col min="8" max="8" width="13.57421875" style="0" bestFit="1" customWidth="1"/>
  </cols>
  <sheetData>
    <row r="1" spans="1:5" ht="15">
      <c r="A1" s="491" t="s">
        <v>254</v>
      </c>
      <c r="B1" s="491"/>
      <c r="C1" s="491"/>
      <c r="D1" s="491"/>
      <c r="E1" s="491"/>
    </row>
    <row r="2" spans="1:5" ht="15.75" thickBot="1">
      <c r="A2" s="101"/>
      <c r="B2" s="102"/>
      <c r="C2" s="102"/>
      <c r="D2" s="101"/>
      <c r="E2" s="102"/>
    </row>
    <row r="3" spans="1:5" ht="39" thickBot="1">
      <c r="A3" s="111" t="s">
        <v>247</v>
      </c>
      <c r="B3" s="112" t="s">
        <v>248</v>
      </c>
      <c r="C3" s="112" t="s">
        <v>249</v>
      </c>
      <c r="D3" s="112" t="s">
        <v>250</v>
      </c>
      <c r="E3" s="112" t="s">
        <v>251</v>
      </c>
    </row>
    <row r="4" spans="1:8" ht="25.5">
      <c r="A4" s="103" t="s">
        <v>441</v>
      </c>
      <c r="B4" s="104">
        <v>18820848</v>
      </c>
      <c r="C4" s="104"/>
      <c r="D4" s="104">
        <f aca="true" t="shared" si="0" ref="D4:D9">SUM(B4:C4)</f>
        <v>18820848</v>
      </c>
      <c r="E4" s="104" t="s">
        <v>252</v>
      </c>
      <c r="H4" s="310"/>
    </row>
    <row r="5" spans="1:5" ht="15">
      <c r="A5" s="103"/>
      <c r="B5" s="104"/>
      <c r="C5" s="104"/>
      <c r="D5" s="104">
        <f t="shared" si="0"/>
        <v>0</v>
      </c>
      <c r="E5" s="104"/>
    </row>
    <row r="6" spans="1:5" ht="15">
      <c r="A6" s="103"/>
      <c r="B6" s="104"/>
      <c r="C6" s="104"/>
      <c r="D6" s="104">
        <f t="shared" si="0"/>
        <v>0</v>
      </c>
      <c r="E6" s="104"/>
    </row>
    <row r="7" spans="1:5" ht="15">
      <c r="A7" s="103"/>
      <c r="B7" s="104"/>
      <c r="C7" s="104"/>
      <c r="D7" s="104">
        <f t="shared" si="0"/>
        <v>0</v>
      </c>
      <c r="E7" s="104"/>
    </row>
    <row r="8" spans="1:5" ht="15">
      <c r="A8" s="105"/>
      <c r="B8" s="104"/>
      <c r="C8" s="104"/>
      <c r="D8" s="104">
        <f t="shared" si="0"/>
        <v>0</v>
      </c>
      <c r="E8" s="104"/>
    </row>
    <row r="9" spans="1:5" ht="15.75" thickBot="1">
      <c r="A9" s="106"/>
      <c r="B9" s="107"/>
      <c r="C9" s="108"/>
      <c r="D9" s="108">
        <f t="shared" si="0"/>
        <v>0</v>
      </c>
      <c r="E9" s="108"/>
    </row>
    <row r="10" spans="1:5" ht="15.75" thickBot="1">
      <c r="A10" s="109" t="s">
        <v>253</v>
      </c>
      <c r="B10" s="110">
        <f>'kiadás össz.'!G39</f>
        <v>18820848</v>
      </c>
      <c r="C10" s="110">
        <f>SUM(C4:C9)</f>
        <v>0</v>
      </c>
      <c r="D10" s="110">
        <f>SUM(D4:D9)</f>
        <v>18820848</v>
      </c>
      <c r="E10" s="110">
        <f>SUM(E4:E9)</f>
        <v>0</v>
      </c>
    </row>
    <row r="12" ht="15">
      <c r="B12" s="310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23.8515625" style="101" customWidth="1"/>
    <col min="2" max="2" width="23.00390625" style="445" bestFit="1" customWidth="1"/>
    <col min="3" max="3" width="9.140625" style="101" hidden="1" customWidth="1"/>
    <col min="4" max="4" width="12.00390625" style="353" hidden="1" customWidth="1"/>
    <col min="5" max="5" width="12.00390625" style="102" hidden="1" customWidth="1"/>
    <col min="6" max="6" width="12.00390625" style="102" bestFit="1" customWidth="1"/>
    <col min="7" max="8" width="13.7109375" style="102" customWidth="1"/>
    <col min="9" max="11" width="12.00390625" style="101" hidden="1" customWidth="1"/>
    <col min="12" max="16384" width="9.140625" style="101" customWidth="1"/>
  </cols>
  <sheetData>
    <row r="1" spans="1:11" ht="12.75">
      <c r="A1" s="491" t="s">
        <v>450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</row>
    <row r="2" spans="1:11" ht="13.5" thickBot="1">
      <c r="A2" s="1"/>
      <c r="B2" s="443"/>
      <c r="C2" s="1"/>
      <c r="D2" s="1"/>
      <c r="E2" s="1"/>
      <c r="J2" s="421"/>
      <c r="K2" s="421"/>
    </row>
    <row r="3" spans="1:11" s="422" customFormat="1" ht="12.75">
      <c r="A3" s="576" t="s">
        <v>280</v>
      </c>
      <c r="B3" s="578" t="s">
        <v>418</v>
      </c>
      <c r="C3" s="580" t="s">
        <v>419</v>
      </c>
      <c r="D3" s="581"/>
      <c r="E3" s="582"/>
      <c r="F3" s="580" t="s">
        <v>423</v>
      </c>
      <c r="G3" s="581"/>
      <c r="H3" s="582"/>
      <c r="I3" s="583" t="s">
        <v>422</v>
      </c>
      <c r="J3" s="584"/>
      <c r="K3" s="585"/>
    </row>
    <row r="4" spans="1:11" s="422" customFormat="1" ht="26.25" thickBot="1">
      <c r="A4" s="577"/>
      <c r="B4" s="579"/>
      <c r="C4" s="441" t="s">
        <v>420</v>
      </c>
      <c r="D4" s="442" t="s">
        <v>421</v>
      </c>
      <c r="E4" s="442" t="s">
        <v>250</v>
      </c>
      <c r="F4" s="441" t="s">
        <v>420</v>
      </c>
      <c r="G4" s="442" t="s">
        <v>421</v>
      </c>
      <c r="H4" s="442" t="s">
        <v>250</v>
      </c>
      <c r="I4" s="423" t="s">
        <v>420</v>
      </c>
      <c r="J4" s="424" t="s">
        <v>421</v>
      </c>
      <c r="K4" s="424" t="s">
        <v>250</v>
      </c>
    </row>
    <row r="5" spans="1:11" s="422" customFormat="1" ht="13.5" thickBot="1">
      <c r="A5" s="438" t="s">
        <v>419</v>
      </c>
      <c r="B5" s="444"/>
      <c r="C5" s="439"/>
      <c r="D5" s="439"/>
      <c r="E5" s="439"/>
      <c r="F5" s="439"/>
      <c r="G5" s="439"/>
      <c r="H5" s="440">
        <v>52371183</v>
      </c>
      <c r="I5" s="349"/>
      <c r="J5" s="350"/>
      <c r="K5" s="351"/>
    </row>
    <row r="6" spans="1:11" s="428" customFormat="1" ht="51">
      <c r="A6" s="437" t="s">
        <v>423</v>
      </c>
      <c r="B6" s="454" t="s">
        <v>424</v>
      </c>
      <c r="C6" s="446"/>
      <c r="D6" s="426"/>
      <c r="E6" s="427">
        <f>SUM(C6:D6)</f>
        <v>0</v>
      </c>
      <c r="F6" s="462">
        <v>4355</v>
      </c>
      <c r="G6" s="427"/>
      <c r="H6" s="462">
        <f>SUM(F6:G6)</f>
        <v>4355</v>
      </c>
      <c r="I6" s="446">
        <f>C6+F6</f>
        <v>4355</v>
      </c>
      <c r="J6" s="426">
        <f>D6+G6</f>
        <v>0</v>
      </c>
      <c r="K6" s="427">
        <f aca="true" t="shared" si="0" ref="K6:K18">SUM(I6:J6)</f>
        <v>4355</v>
      </c>
    </row>
    <row r="7" spans="1:11" s="428" customFormat="1" ht="25.5">
      <c r="A7" s="425"/>
      <c r="B7" s="455" t="s">
        <v>444</v>
      </c>
      <c r="C7" s="446"/>
      <c r="D7" s="426"/>
      <c r="E7" s="427">
        <f aca="true" t="shared" si="1" ref="E7:E18">SUM(C7:D7)</f>
        <v>0</v>
      </c>
      <c r="F7" s="463"/>
      <c r="G7" s="427">
        <v>568455</v>
      </c>
      <c r="H7" s="463">
        <f aca="true" t="shared" si="2" ref="H7:H18">SUM(F7:G7)</f>
        <v>568455</v>
      </c>
      <c r="I7" s="446">
        <f aca="true" t="shared" si="3" ref="I7:J18">C7+F7</f>
        <v>0</v>
      </c>
      <c r="J7" s="426">
        <f t="shared" si="3"/>
        <v>568455</v>
      </c>
      <c r="K7" s="427">
        <f t="shared" si="0"/>
        <v>568455</v>
      </c>
    </row>
    <row r="8" spans="1:11" s="428" customFormat="1" ht="25.5">
      <c r="A8" s="425"/>
      <c r="B8" s="456" t="s">
        <v>425</v>
      </c>
      <c r="C8" s="446"/>
      <c r="D8" s="426"/>
      <c r="E8" s="427">
        <f t="shared" si="1"/>
        <v>0</v>
      </c>
      <c r="F8" s="463">
        <v>17474</v>
      </c>
      <c r="G8" s="427"/>
      <c r="H8" s="463">
        <f t="shared" si="2"/>
        <v>17474</v>
      </c>
      <c r="I8" s="446">
        <f t="shared" si="3"/>
        <v>17474</v>
      </c>
      <c r="J8" s="426">
        <f t="shared" si="3"/>
        <v>0</v>
      </c>
      <c r="K8" s="427">
        <f t="shared" si="0"/>
        <v>17474</v>
      </c>
    </row>
    <row r="9" spans="1:11" s="428" customFormat="1" ht="51">
      <c r="A9" s="425"/>
      <c r="B9" s="456" t="s">
        <v>426</v>
      </c>
      <c r="C9" s="446"/>
      <c r="D9" s="426"/>
      <c r="E9" s="427">
        <f t="shared" si="1"/>
        <v>0</v>
      </c>
      <c r="F9" s="463">
        <v>6717210</v>
      </c>
      <c r="G9" s="427"/>
      <c r="H9" s="463">
        <f t="shared" si="2"/>
        <v>6717210</v>
      </c>
      <c r="I9" s="446">
        <f t="shared" si="3"/>
        <v>6717210</v>
      </c>
      <c r="J9" s="426">
        <f t="shared" si="3"/>
        <v>0</v>
      </c>
      <c r="K9" s="427">
        <f t="shared" si="0"/>
        <v>6717210</v>
      </c>
    </row>
    <row r="10" spans="1:11" s="428" customFormat="1" ht="38.25">
      <c r="A10" s="425"/>
      <c r="B10" s="456" t="s">
        <v>427</v>
      </c>
      <c r="C10" s="446"/>
      <c r="D10" s="426"/>
      <c r="E10" s="427">
        <f t="shared" si="1"/>
        <v>0</v>
      </c>
      <c r="F10" s="463">
        <v>1420000</v>
      </c>
      <c r="G10" s="427"/>
      <c r="H10" s="463">
        <f t="shared" si="2"/>
        <v>1420000</v>
      </c>
      <c r="I10" s="446">
        <f t="shared" si="3"/>
        <v>1420000</v>
      </c>
      <c r="J10" s="426">
        <f t="shared" si="3"/>
        <v>0</v>
      </c>
      <c r="K10" s="427">
        <f t="shared" si="0"/>
        <v>1420000</v>
      </c>
    </row>
    <row r="11" spans="1:11" s="428" customFormat="1" ht="25.5">
      <c r="A11" s="425"/>
      <c r="B11" s="456" t="s">
        <v>412</v>
      </c>
      <c r="C11" s="446"/>
      <c r="D11" s="426"/>
      <c r="E11" s="427">
        <f t="shared" si="1"/>
        <v>0</v>
      </c>
      <c r="F11" s="463">
        <v>966000</v>
      </c>
      <c r="G11" s="427"/>
      <c r="H11" s="463">
        <f t="shared" si="2"/>
        <v>966000</v>
      </c>
      <c r="I11" s="446">
        <f t="shared" si="3"/>
        <v>966000</v>
      </c>
      <c r="J11" s="426">
        <f t="shared" si="3"/>
        <v>0</v>
      </c>
      <c r="K11" s="427">
        <f t="shared" si="0"/>
        <v>966000</v>
      </c>
    </row>
    <row r="12" spans="1:11" s="428" customFormat="1" ht="25.5">
      <c r="A12" s="425"/>
      <c r="B12" s="456" t="s">
        <v>428</v>
      </c>
      <c r="C12" s="446"/>
      <c r="D12" s="426"/>
      <c r="E12" s="427">
        <f t="shared" si="1"/>
        <v>0</v>
      </c>
      <c r="F12" s="463"/>
      <c r="G12" s="427"/>
      <c r="H12" s="463">
        <f t="shared" si="2"/>
        <v>0</v>
      </c>
      <c r="I12" s="446">
        <f t="shared" si="3"/>
        <v>0</v>
      </c>
      <c r="J12" s="426">
        <f t="shared" si="3"/>
        <v>0</v>
      </c>
      <c r="K12" s="427">
        <f t="shared" si="0"/>
        <v>0</v>
      </c>
    </row>
    <row r="13" spans="1:11" s="428" customFormat="1" ht="12.75">
      <c r="A13" s="425"/>
      <c r="B13" s="456" t="s">
        <v>445</v>
      </c>
      <c r="C13" s="446"/>
      <c r="D13" s="426"/>
      <c r="E13" s="427"/>
      <c r="F13" s="463">
        <v>249587</v>
      </c>
      <c r="G13" s="427"/>
      <c r="H13" s="463">
        <f t="shared" si="2"/>
        <v>249587</v>
      </c>
      <c r="I13" s="446">
        <f t="shared" si="3"/>
        <v>249587</v>
      </c>
      <c r="J13" s="426"/>
      <c r="K13" s="427"/>
    </row>
    <row r="14" spans="1:11" s="428" customFormat="1" ht="12.75">
      <c r="A14" s="425"/>
      <c r="B14" s="456" t="s">
        <v>446</v>
      </c>
      <c r="C14" s="446"/>
      <c r="D14" s="426"/>
      <c r="E14" s="427">
        <f t="shared" si="1"/>
        <v>0</v>
      </c>
      <c r="F14" s="463"/>
      <c r="G14" s="427">
        <v>64147956</v>
      </c>
      <c r="H14" s="463">
        <f t="shared" si="2"/>
        <v>64147956</v>
      </c>
      <c r="I14" s="446">
        <f t="shared" si="3"/>
        <v>0</v>
      </c>
      <c r="J14" s="426">
        <f t="shared" si="3"/>
        <v>64147956</v>
      </c>
      <c r="K14" s="427">
        <f t="shared" si="0"/>
        <v>64147956</v>
      </c>
    </row>
    <row r="15" spans="1:11" s="428" customFormat="1" ht="25.5">
      <c r="A15" s="452"/>
      <c r="B15" s="457" t="s">
        <v>447</v>
      </c>
      <c r="C15" s="453"/>
      <c r="D15" s="429"/>
      <c r="E15" s="460"/>
      <c r="F15" s="352"/>
      <c r="G15" s="466">
        <v>62708363</v>
      </c>
      <c r="H15" s="464">
        <f t="shared" si="2"/>
        <v>62708363</v>
      </c>
      <c r="I15" s="447"/>
      <c r="J15" s="436"/>
      <c r="K15" s="436"/>
    </row>
    <row r="16" spans="1:11" s="428" customFormat="1" ht="12.75">
      <c r="A16" s="452"/>
      <c r="B16" s="457" t="s">
        <v>449</v>
      </c>
      <c r="C16" s="453"/>
      <c r="D16" s="429"/>
      <c r="E16" s="460"/>
      <c r="F16" s="352"/>
      <c r="G16" s="466">
        <v>17785000</v>
      </c>
      <c r="H16" s="464">
        <v>17785000</v>
      </c>
      <c r="I16" s="446"/>
      <c r="J16" s="427"/>
      <c r="K16" s="427"/>
    </row>
    <row r="17" spans="1:11" s="428" customFormat="1" ht="12.75">
      <c r="A17" s="452"/>
      <c r="B17" s="458" t="s">
        <v>448</v>
      </c>
      <c r="C17" s="447"/>
      <c r="D17" s="436"/>
      <c r="E17" s="461"/>
      <c r="F17" s="464">
        <v>15621000</v>
      </c>
      <c r="G17" s="466"/>
      <c r="H17" s="464">
        <f t="shared" si="2"/>
        <v>15621000</v>
      </c>
      <c r="I17" s="446" t="e">
        <f>#REF!+#REF!</f>
        <v>#REF!</v>
      </c>
      <c r="J17" s="426" t="e">
        <f>#REF!+G17</f>
        <v>#REF!</v>
      </c>
      <c r="K17" s="427" t="e">
        <f t="shared" si="0"/>
        <v>#REF!</v>
      </c>
    </row>
    <row r="18" spans="1:11" s="428" customFormat="1" ht="13.5" thickBot="1">
      <c r="A18" s="452"/>
      <c r="B18" s="459"/>
      <c r="C18" s="447"/>
      <c r="D18" s="436"/>
      <c r="E18" s="461">
        <f t="shared" si="1"/>
        <v>0</v>
      </c>
      <c r="F18" s="465"/>
      <c r="G18" s="466"/>
      <c r="H18" s="465">
        <f t="shared" si="2"/>
        <v>0</v>
      </c>
      <c r="I18" s="355">
        <f t="shared" si="3"/>
        <v>0</v>
      </c>
      <c r="J18" s="430">
        <f t="shared" si="3"/>
        <v>0</v>
      </c>
      <c r="K18" s="431">
        <f t="shared" si="0"/>
        <v>0</v>
      </c>
    </row>
    <row r="19" spans="1:11" s="435" customFormat="1" ht="13.5" thickBot="1">
      <c r="A19" s="448" t="s">
        <v>253</v>
      </c>
      <c r="B19" s="449">
        <f>SUM(B6:B18)</f>
        <v>0</v>
      </c>
      <c r="C19" s="450">
        <f>SUM(C6:C18)</f>
        <v>0</v>
      </c>
      <c r="D19" s="451">
        <f aca="true" t="shared" si="4" ref="D19:K19">SUM(D6:D18)</f>
        <v>0</v>
      </c>
      <c r="E19" s="451">
        <f t="shared" si="4"/>
        <v>0</v>
      </c>
      <c r="F19" s="450">
        <f t="shared" si="4"/>
        <v>24995626</v>
      </c>
      <c r="G19" s="451">
        <f t="shared" si="4"/>
        <v>145209774</v>
      </c>
      <c r="H19" s="451">
        <f>SUM(H6:H18)</f>
        <v>170205400</v>
      </c>
      <c r="I19" s="432" t="e">
        <f t="shared" si="4"/>
        <v>#REF!</v>
      </c>
      <c r="J19" s="433" t="e">
        <f t="shared" si="4"/>
        <v>#REF!</v>
      </c>
      <c r="K19" s="434" t="e">
        <f t="shared" si="4"/>
        <v>#REF!</v>
      </c>
    </row>
  </sheetData>
  <sheetProtection/>
  <mergeCells count="6">
    <mergeCell ref="A1:K1"/>
    <mergeCell ref="A3:A4"/>
    <mergeCell ref="B3:B4"/>
    <mergeCell ref="C3:E3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6.00390625" style="0" bestFit="1" customWidth="1"/>
    <col min="3" max="3" width="15.57421875" style="0" bestFit="1" customWidth="1"/>
    <col min="5" max="5" width="49.421875" style="0" bestFit="1" customWidth="1"/>
    <col min="7" max="7" width="15.57421875" style="0" bestFit="1" customWidth="1"/>
    <col min="8" max="8" width="14.140625" style="0" bestFit="1" customWidth="1"/>
  </cols>
  <sheetData>
    <row r="1" spans="1:7" ht="15">
      <c r="A1" s="586" t="s">
        <v>429</v>
      </c>
      <c r="B1" s="586"/>
      <c r="C1" s="586"/>
      <c r="D1" s="586"/>
      <c r="E1" s="586"/>
      <c r="F1" s="586"/>
      <c r="G1" s="586"/>
    </row>
    <row r="3" spans="1:7" ht="15.75">
      <c r="A3" s="588" t="s">
        <v>388</v>
      </c>
      <c r="B3" s="588"/>
      <c r="C3" s="588"/>
      <c r="D3" s="588"/>
      <c r="E3" s="588"/>
      <c r="F3" s="588"/>
      <c r="G3" s="588"/>
    </row>
    <row r="4" spans="1:6" ht="15.75">
      <c r="A4" s="173"/>
      <c r="B4" s="173"/>
      <c r="C4" s="173"/>
      <c r="D4" s="173"/>
      <c r="E4" s="173"/>
      <c r="F4" s="173"/>
    </row>
    <row r="5" spans="1:7" ht="15.75">
      <c r="A5" s="587" t="s">
        <v>389</v>
      </c>
      <c r="B5" s="587"/>
      <c r="C5" s="587"/>
      <c r="D5" s="587"/>
      <c r="E5" s="587"/>
      <c r="F5" s="587"/>
      <c r="G5" s="587"/>
    </row>
    <row r="6" ht="15.75">
      <c r="H6" s="128"/>
    </row>
    <row r="7" spans="1:8" ht="26.25">
      <c r="A7" s="129" t="s">
        <v>4</v>
      </c>
      <c r="B7" s="129" t="s">
        <v>268</v>
      </c>
      <c r="C7" s="130" t="s">
        <v>279</v>
      </c>
      <c r="D7" s="131"/>
      <c r="E7" s="129" t="s">
        <v>4</v>
      </c>
      <c r="F7" s="129" t="s">
        <v>268</v>
      </c>
      <c r="G7" s="130" t="s">
        <v>279</v>
      </c>
      <c r="H7" s="128"/>
    </row>
    <row r="8" spans="1:8" ht="15.75">
      <c r="A8" s="132" t="s">
        <v>269</v>
      </c>
      <c r="B8" s="132" t="s">
        <v>173</v>
      </c>
      <c r="C8" s="133">
        <f>'bev.össz'!G15</f>
        <v>547224633.5</v>
      </c>
      <c r="D8" s="134"/>
      <c r="E8" s="132" t="s">
        <v>48</v>
      </c>
      <c r="F8" s="132" t="s">
        <v>49</v>
      </c>
      <c r="G8" s="132">
        <f>'kiadás össz.'!G19</f>
        <v>397945980.5</v>
      </c>
      <c r="H8" s="135"/>
    </row>
    <row r="9" spans="1:8" ht="15.75">
      <c r="A9" s="132" t="s">
        <v>270</v>
      </c>
      <c r="B9" s="132" t="s">
        <v>187</v>
      </c>
      <c r="C9" s="132">
        <f>'bev.össz'!G22</f>
        <v>58600000</v>
      </c>
      <c r="D9" s="134"/>
      <c r="E9" s="132" t="s">
        <v>51</v>
      </c>
      <c r="F9" s="132" t="s">
        <v>52</v>
      </c>
      <c r="G9" s="132">
        <f>'kiadás össz.'!G20</f>
        <v>51246275.89000001</v>
      </c>
      <c r="H9" s="135"/>
    </row>
    <row r="10" spans="1:8" ht="15">
      <c r="A10" s="132" t="s">
        <v>271</v>
      </c>
      <c r="B10" s="132" t="s">
        <v>201</v>
      </c>
      <c r="C10" s="132">
        <f>'bev.össz'!G29</f>
        <v>64490640.67757781</v>
      </c>
      <c r="D10" s="134"/>
      <c r="E10" s="132" t="s">
        <v>90</v>
      </c>
      <c r="F10" s="132" t="s">
        <v>91</v>
      </c>
      <c r="G10" s="132">
        <f>'kiadás össz.'!G33</f>
        <v>199343655.2</v>
      </c>
      <c r="H10" s="136"/>
    </row>
    <row r="11" spans="1:8" ht="15">
      <c r="A11" s="132" t="s">
        <v>272</v>
      </c>
      <c r="B11" s="132" t="s">
        <v>209</v>
      </c>
      <c r="C11" s="132">
        <f>'bev.össz'!G33</f>
        <v>3687509</v>
      </c>
      <c r="D11" s="134"/>
      <c r="E11" s="132" t="s">
        <v>273</v>
      </c>
      <c r="F11" s="132" t="s">
        <v>100</v>
      </c>
      <c r="G11" s="132">
        <f>'kiadás össz.'!G36</f>
        <v>12000000</v>
      </c>
      <c r="H11" s="136"/>
    </row>
    <row r="12" spans="1:8" ht="15">
      <c r="A12" s="137" t="s">
        <v>274</v>
      </c>
      <c r="B12" s="137"/>
      <c r="C12" s="138">
        <f>SUM(C8:C11)</f>
        <v>674002783.1775779</v>
      </c>
      <c r="D12" s="134"/>
      <c r="E12" s="132" t="s">
        <v>111</v>
      </c>
      <c r="F12" s="132" t="s">
        <v>112</v>
      </c>
      <c r="G12" s="132">
        <f>'kiadás össz.'!G40</f>
        <v>46470848</v>
      </c>
      <c r="H12" s="136"/>
    </row>
    <row r="13" spans="1:8" ht="15">
      <c r="A13" s="132" t="s">
        <v>275</v>
      </c>
      <c r="B13" s="132" t="s">
        <v>177</v>
      </c>
      <c r="C13" s="132">
        <f>'bev.össz'!G17</f>
        <v>11328185</v>
      </c>
      <c r="D13" s="134"/>
      <c r="E13" s="137" t="s">
        <v>274</v>
      </c>
      <c r="F13" s="137"/>
      <c r="G13" s="138">
        <f>SUM(G8:G12)</f>
        <v>707006759.5899999</v>
      </c>
      <c r="H13" s="136"/>
    </row>
    <row r="14" spans="1:8" ht="15">
      <c r="A14" s="132" t="s">
        <v>204</v>
      </c>
      <c r="B14" s="132" t="s">
        <v>205</v>
      </c>
      <c r="C14" s="132">
        <f>'bev.össz'!G31</f>
        <v>3102000</v>
      </c>
      <c r="D14" s="134"/>
      <c r="E14" s="132" t="s">
        <v>123</v>
      </c>
      <c r="F14" s="132" t="s">
        <v>124</v>
      </c>
      <c r="G14" s="132">
        <f>'kiadás össz.'!G45</f>
        <v>150484247.42000002</v>
      </c>
      <c r="H14" s="136"/>
    </row>
    <row r="15" spans="1:8" ht="15">
      <c r="A15" s="132" t="s">
        <v>212</v>
      </c>
      <c r="B15" s="132" t="s">
        <v>213</v>
      </c>
      <c r="C15" s="132">
        <f>'bev.össz'!G35</f>
        <v>1000000</v>
      </c>
      <c r="D15" s="134"/>
      <c r="E15" s="132" t="s">
        <v>132</v>
      </c>
      <c r="F15" s="132" t="s">
        <v>133</v>
      </c>
      <c r="G15" s="132">
        <f>'kiadás össz.'!G48</f>
        <v>31421553.227142856</v>
      </c>
      <c r="H15" s="139"/>
    </row>
    <row r="16" spans="1:8" ht="15.75">
      <c r="A16" s="137" t="s">
        <v>276</v>
      </c>
      <c r="B16" s="137"/>
      <c r="C16" s="138">
        <f>SUM(C13:C15)</f>
        <v>15430185</v>
      </c>
      <c r="D16" s="134"/>
      <c r="E16" s="132" t="s">
        <v>138</v>
      </c>
      <c r="F16" s="132" t="s">
        <v>139</v>
      </c>
      <c r="G16" s="132">
        <f>'kiadás össz.'!G50</f>
        <v>6000000</v>
      </c>
      <c r="H16" s="135"/>
    </row>
    <row r="17" spans="1:8" ht="15">
      <c r="A17" s="137" t="s">
        <v>223</v>
      </c>
      <c r="B17" s="137" t="s">
        <v>224</v>
      </c>
      <c r="C17" s="138">
        <f>'bev.össz'!G44</f>
        <v>610658447.76</v>
      </c>
      <c r="D17" s="134"/>
      <c r="E17" s="137" t="s">
        <v>276</v>
      </c>
      <c r="F17" s="137"/>
      <c r="G17" s="138">
        <f>SUM(G14:G16)</f>
        <v>187905800.6471429</v>
      </c>
      <c r="H17" s="136"/>
    </row>
    <row r="18" spans="1:8" ht="15">
      <c r="A18" s="132"/>
      <c r="B18" s="132"/>
      <c r="C18" s="140"/>
      <c r="D18" s="134"/>
      <c r="E18" s="137" t="s">
        <v>151</v>
      </c>
      <c r="F18" s="137" t="s">
        <v>152</v>
      </c>
      <c r="G18" s="138">
        <f>'kiadás össz.'!G58</f>
        <v>405178855.76</v>
      </c>
      <c r="H18" s="136"/>
    </row>
    <row r="19" spans="1:8" ht="15">
      <c r="A19" s="141"/>
      <c r="B19" s="141"/>
      <c r="C19" s="141"/>
      <c r="D19" s="142"/>
      <c r="E19" s="141"/>
      <c r="F19" s="141"/>
      <c r="G19" s="141"/>
      <c r="H19" s="143"/>
    </row>
    <row r="20" spans="1:8" ht="15">
      <c r="A20" s="144" t="s">
        <v>277</v>
      </c>
      <c r="B20" s="144"/>
      <c r="C20" s="144">
        <f>C12+C16+C17+C18</f>
        <v>1300091415.9375777</v>
      </c>
      <c r="D20" s="145"/>
      <c r="E20" s="144" t="s">
        <v>278</v>
      </c>
      <c r="F20" s="144"/>
      <c r="G20" s="144">
        <f>G13+G17+G18</f>
        <v>1300091415.9971428</v>
      </c>
      <c r="H20" s="146">
        <f>C20-G20</f>
        <v>-0.059565067291259766</v>
      </c>
    </row>
  </sheetData>
  <sheetProtection/>
  <mergeCells count="3">
    <mergeCell ref="A1:G1"/>
    <mergeCell ref="A5:G5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R23" sqref="R23:R28"/>
    </sheetView>
  </sheetViews>
  <sheetFormatPr defaultColWidth="9.140625" defaultRowHeight="15"/>
  <cols>
    <col min="1" max="1" width="27.421875" style="0" customWidth="1"/>
  </cols>
  <sheetData>
    <row r="1" spans="1:16" ht="15">
      <c r="A1" s="491" t="s">
        <v>431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</row>
    <row r="2" spans="1:16" ht="15">
      <c r="A2" s="101"/>
      <c r="B2" s="147"/>
      <c r="C2" s="148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34.5" customHeight="1">
      <c r="A3" s="589" t="s">
        <v>280</v>
      </c>
      <c r="B3" s="591" t="s">
        <v>281</v>
      </c>
      <c r="C3" s="592"/>
      <c r="D3" s="593"/>
      <c r="E3" s="591" t="s">
        <v>282</v>
      </c>
      <c r="F3" s="592"/>
      <c r="G3" s="593"/>
      <c r="H3" s="591" t="s">
        <v>283</v>
      </c>
      <c r="I3" s="592"/>
      <c r="J3" s="593"/>
      <c r="K3" s="591" t="s">
        <v>284</v>
      </c>
      <c r="L3" s="592"/>
      <c r="M3" s="593"/>
      <c r="N3" s="591" t="s">
        <v>253</v>
      </c>
      <c r="O3" s="592"/>
      <c r="P3" s="593"/>
    </row>
    <row r="4" spans="1:16" ht="26.25" thickBot="1">
      <c r="A4" s="590"/>
      <c r="B4" s="149" t="s">
        <v>285</v>
      </c>
      <c r="C4" s="150" t="s">
        <v>286</v>
      </c>
      <c r="D4" s="151" t="s">
        <v>250</v>
      </c>
      <c r="E4" s="149" t="s">
        <v>285</v>
      </c>
      <c r="F4" s="150" t="s">
        <v>286</v>
      </c>
      <c r="G4" s="151" t="s">
        <v>250</v>
      </c>
      <c r="H4" s="149" t="s">
        <v>285</v>
      </c>
      <c r="I4" s="150" t="s">
        <v>286</v>
      </c>
      <c r="J4" s="151" t="s">
        <v>250</v>
      </c>
      <c r="K4" s="149" t="s">
        <v>285</v>
      </c>
      <c r="L4" s="150" t="s">
        <v>286</v>
      </c>
      <c r="M4" s="151" t="s">
        <v>250</v>
      </c>
      <c r="N4" s="149" t="s">
        <v>285</v>
      </c>
      <c r="O4" s="150" t="s">
        <v>286</v>
      </c>
      <c r="P4" s="152" t="s">
        <v>250</v>
      </c>
    </row>
    <row r="5" spans="1:16" ht="15.75" thickTop="1">
      <c r="A5" s="153"/>
      <c r="B5" s="154"/>
      <c r="C5" s="155"/>
      <c r="D5" s="156"/>
      <c r="E5" s="154"/>
      <c r="F5" s="155"/>
      <c r="G5" s="156"/>
      <c r="H5" s="154"/>
      <c r="I5" s="155"/>
      <c r="J5" s="156"/>
      <c r="K5" s="154"/>
      <c r="L5" s="155"/>
      <c r="M5" s="156"/>
      <c r="N5" s="154"/>
      <c r="O5" s="155"/>
      <c r="P5" s="157"/>
    </row>
    <row r="6" spans="1:16" ht="27">
      <c r="A6" s="158" t="s">
        <v>287</v>
      </c>
      <c r="B6" s="159"/>
      <c r="C6" s="160"/>
      <c r="D6" s="161"/>
      <c r="E6" s="159"/>
      <c r="F6" s="160"/>
      <c r="G6" s="161"/>
      <c r="H6" s="159"/>
      <c r="I6" s="160"/>
      <c r="J6" s="161"/>
      <c r="K6" s="159"/>
      <c r="L6" s="160"/>
      <c r="M6" s="161"/>
      <c r="N6" s="159"/>
      <c r="O6" s="160"/>
      <c r="P6" s="162"/>
    </row>
    <row r="7" spans="1:16" ht="15">
      <c r="A7" s="153" t="s">
        <v>288</v>
      </c>
      <c r="B7" s="154"/>
      <c r="C7" s="155"/>
      <c r="D7" s="156">
        <f aca="true" t="shared" si="0" ref="D7:D12">SUM(B7:C7)</f>
        <v>0</v>
      </c>
      <c r="E7" s="154">
        <v>2</v>
      </c>
      <c r="F7" s="155"/>
      <c r="G7" s="161">
        <f>SUM(E7:F7)</f>
        <v>2</v>
      </c>
      <c r="H7" s="154"/>
      <c r="I7" s="155"/>
      <c r="J7" s="156">
        <f>SUM(H7:I7)</f>
        <v>0</v>
      </c>
      <c r="K7" s="154"/>
      <c r="L7" s="155"/>
      <c r="M7" s="156">
        <f>SUM(K7:L7)</f>
        <v>0</v>
      </c>
      <c r="N7" s="154">
        <f>B7+E7+H7+K7</f>
        <v>2</v>
      </c>
      <c r="O7" s="155"/>
      <c r="P7" s="162">
        <f>SUM(N7:O7)</f>
        <v>2</v>
      </c>
    </row>
    <row r="8" spans="1:16" ht="15">
      <c r="A8" s="153" t="s">
        <v>289</v>
      </c>
      <c r="B8" s="154"/>
      <c r="C8" s="155"/>
      <c r="D8" s="156">
        <f t="shared" si="0"/>
        <v>0</v>
      </c>
      <c r="E8" s="154">
        <v>1</v>
      </c>
      <c r="F8" s="155"/>
      <c r="G8" s="161">
        <f>SUM(E8:F8)</f>
        <v>1</v>
      </c>
      <c r="H8" s="154"/>
      <c r="I8" s="155"/>
      <c r="J8" s="156"/>
      <c r="K8" s="154"/>
      <c r="L8" s="155"/>
      <c r="M8" s="156"/>
      <c r="N8" s="154">
        <f aca="true" t="shared" si="1" ref="N8:N32">B8+E8+H8+K8</f>
        <v>1</v>
      </c>
      <c r="O8" s="155"/>
      <c r="P8" s="162">
        <f>G8+J8+M8</f>
        <v>1</v>
      </c>
    </row>
    <row r="9" spans="1:16" ht="25.5">
      <c r="A9" s="153" t="s">
        <v>290</v>
      </c>
      <c r="B9" s="154"/>
      <c r="C9" s="155"/>
      <c r="D9" s="156">
        <f t="shared" si="0"/>
        <v>0</v>
      </c>
      <c r="E9" s="154">
        <v>4</v>
      </c>
      <c r="F9" s="155"/>
      <c r="G9" s="161">
        <f>SUM(E9:F9)</f>
        <v>4</v>
      </c>
      <c r="H9" s="154">
        <v>3</v>
      </c>
      <c r="I9" s="155"/>
      <c r="J9" s="161">
        <f>SUM(H9:I9)</f>
        <v>3</v>
      </c>
      <c r="K9" s="154"/>
      <c r="L9" s="155"/>
      <c r="M9" s="156"/>
      <c r="N9" s="154">
        <f t="shared" si="1"/>
        <v>7</v>
      </c>
      <c r="O9" s="155"/>
      <c r="P9" s="162">
        <f aca="true" t="shared" si="2" ref="P9:P32">G9+J9+M9</f>
        <v>7</v>
      </c>
    </row>
    <row r="10" spans="1:16" ht="15">
      <c r="A10" s="153" t="s">
        <v>291</v>
      </c>
      <c r="B10" s="154"/>
      <c r="C10" s="155"/>
      <c r="D10" s="156">
        <f t="shared" si="0"/>
        <v>0</v>
      </c>
      <c r="E10" s="154">
        <v>2</v>
      </c>
      <c r="F10" s="155"/>
      <c r="G10" s="161">
        <f>SUM(E10:F10)</f>
        <v>2</v>
      </c>
      <c r="H10" s="154"/>
      <c r="I10" s="155"/>
      <c r="J10" s="156"/>
      <c r="K10" s="154"/>
      <c r="L10" s="155"/>
      <c r="M10" s="156"/>
      <c r="N10" s="154">
        <f t="shared" si="1"/>
        <v>2</v>
      </c>
      <c r="O10" s="155"/>
      <c r="P10" s="162">
        <f t="shared" si="2"/>
        <v>2</v>
      </c>
    </row>
    <row r="11" spans="1:16" ht="15">
      <c r="A11" s="153" t="s">
        <v>292</v>
      </c>
      <c r="B11" s="154"/>
      <c r="C11" s="155"/>
      <c r="D11" s="156">
        <f t="shared" si="0"/>
        <v>0</v>
      </c>
      <c r="E11" s="154"/>
      <c r="F11" s="155"/>
      <c r="G11" s="156"/>
      <c r="H11" s="154"/>
      <c r="I11" s="155"/>
      <c r="J11" s="156"/>
      <c r="K11" s="154">
        <v>12</v>
      </c>
      <c r="L11" s="155"/>
      <c r="M11" s="161">
        <v>12</v>
      </c>
      <c r="N11" s="154">
        <f t="shared" si="1"/>
        <v>12</v>
      </c>
      <c r="O11" s="155"/>
      <c r="P11" s="162">
        <f t="shared" si="2"/>
        <v>12</v>
      </c>
    </row>
    <row r="12" spans="1:16" ht="15">
      <c r="A12" s="153" t="s">
        <v>293</v>
      </c>
      <c r="B12" s="154"/>
      <c r="C12" s="155"/>
      <c r="D12" s="156">
        <f t="shared" si="0"/>
        <v>0</v>
      </c>
      <c r="E12" s="154"/>
      <c r="F12" s="155"/>
      <c r="G12" s="156"/>
      <c r="H12" s="154">
        <v>1</v>
      </c>
      <c r="I12" s="155"/>
      <c r="J12" s="161">
        <f>SUM(H12:I12)</f>
        <v>1</v>
      </c>
      <c r="K12" s="154"/>
      <c r="L12" s="155"/>
      <c r="M12" s="156"/>
      <c r="N12" s="154">
        <f t="shared" si="1"/>
        <v>1</v>
      </c>
      <c r="O12" s="155"/>
      <c r="P12" s="162">
        <f t="shared" si="2"/>
        <v>1</v>
      </c>
    </row>
    <row r="13" spans="1:16" ht="27">
      <c r="A13" s="158" t="s">
        <v>294</v>
      </c>
      <c r="B13" s="159">
        <f>SUM(B7:B12)</f>
        <v>0</v>
      </c>
      <c r="C13" s="160">
        <f>SUM(C7:C12)</f>
        <v>0</v>
      </c>
      <c r="D13" s="161">
        <f>SUM(D7:D12)</f>
        <v>0</v>
      </c>
      <c r="E13" s="159">
        <f>SUM(E7:E12)</f>
        <v>9</v>
      </c>
      <c r="F13" s="160"/>
      <c r="G13" s="161">
        <f>SUM(G7:G12)</f>
        <v>9</v>
      </c>
      <c r="H13" s="159">
        <f>SUM(H7:H12)</f>
        <v>4</v>
      </c>
      <c r="I13" s="160"/>
      <c r="J13" s="161">
        <f>SUM(J7:J12)</f>
        <v>4</v>
      </c>
      <c r="K13" s="159">
        <f>SUM(K11:K12)</f>
        <v>12</v>
      </c>
      <c r="L13" s="160"/>
      <c r="M13" s="161">
        <f>SUM(M11:M12)</f>
        <v>12</v>
      </c>
      <c r="N13" s="154">
        <f t="shared" si="1"/>
        <v>25</v>
      </c>
      <c r="O13" s="155"/>
      <c r="P13" s="162">
        <f t="shared" si="2"/>
        <v>25</v>
      </c>
    </row>
    <row r="14" spans="1:16" ht="15">
      <c r="A14" s="163"/>
      <c r="B14" s="164"/>
      <c r="C14" s="165"/>
      <c r="D14" s="166"/>
      <c r="E14" s="164"/>
      <c r="F14" s="165"/>
      <c r="G14" s="156"/>
      <c r="H14" s="154"/>
      <c r="I14" s="155"/>
      <c r="J14" s="156"/>
      <c r="K14" s="154"/>
      <c r="L14" s="155"/>
      <c r="M14" s="156"/>
      <c r="N14" s="154"/>
      <c r="O14" s="155"/>
      <c r="P14" s="162"/>
    </row>
    <row r="15" spans="1:16" ht="27">
      <c r="A15" s="273" t="s">
        <v>295</v>
      </c>
      <c r="B15" s="159"/>
      <c r="C15" s="160"/>
      <c r="D15" s="161"/>
      <c r="E15" s="159"/>
      <c r="F15" s="160"/>
      <c r="G15" s="161"/>
      <c r="H15" s="159"/>
      <c r="I15" s="160"/>
      <c r="J15" s="161"/>
      <c r="K15" s="159"/>
      <c r="L15" s="160"/>
      <c r="M15" s="161"/>
      <c r="N15" s="154"/>
      <c r="O15" s="155"/>
      <c r="P15" s="162"/>
    </row>
    <row r="16" spans="1:16" ht="25.5">
      <c r="A16" s="153" t="s">
        <v>296</v>
      </c>
      <c r="B16" s="154">
        <v>15</v>
      </c>
      <c r="C16" s="160"/>
      <c r="D16" s="161">
        <v>15</v>
      </c>
      <c r="E16" s="159"/>
      <c r="F16" s="160"/>
      <c r="G16" s="161"/>
      <c r="H16" s="154"/>
      <c r="I16" s="160"/>
      <c r="J16" s="161"/>
      <c r="K16" s="159"/>
      <c r="L16" s="160"/>
      <c r="M16" s="161"/>
      <c r="N16" s="154">
        <f t="shared" si="1"/>
        <v>15</v>
      </c>
      <c r="O16" s="155"/>
      <c r="P16" s="162">
        <f>G16+J16+M16+D16</f>
        <v>15</v>
      </c>
    </row>
    <row r="17" spans="1:16" ht="25.5">
      <c r="A17" s="153" t="s">
        <v>297</v>
      </c>
      <c r="B17" s="154">
        <v>7</v>
      </c>
      <c r="C17" s="160"/>
      <c r="D17" s="161">
        <v>7</v>
      </c>
      <c r="E17" s="159"/>
      <c r="F17" s="160"/>
      <c r="G17" s="161"/>
      <c r="H17" s="154">
        <v>1</v>
      </c>
      <c r="I17" s="160"/>
      <c r="J17" s="161">
        <v>1</v>
      </c>
      <c r="K17" s="159"/>
      <c r="L17" s="160"/>
      <c r="M17" s="161"/>
      <c r="N17" s="154">
        <f t="shared" si="1"/>
        <v>8</v>
      </c>
      <c r="O17" s="155"/>
      <c r="P17" s="162">
        <f>D17+G17+J17+M17</f>
        <v>8</v>
      </c>
    </row>
    <row r="18" spans="1:16" ht="15">
      <c r="A18" s="167" t="s">
        <v>298</v>
      </c>
      <c r="B18" s="159"/>
      <c r="C18" s="160"/>
      <c r="D18" s="161"/>
      <c r="E18" s="154">
        <v>1</v>
      </c>
      <c r="F18" s="160"/>
      <c r="G18" s="161">
        <f>SUM(E18:F18)</f>
        <v>1</v>
      </c>
      <c r="H18" s="154">
        <v>1</v>
      </c>
      <c r="I18" s="160"/>
      <c r="J18" s="161">
        <f>SUM(H18:I18)</f>
        <v>1</v>
      </c>
      <c r="K18" s="159"/>
      <c r="L18" s="160"/>
      <c r="M18" s="161"/>
      <c r="N18" s="154">
        <f t="shared" si="1"/>
        <v>2</v>
      </c>
      <c r="O18" s="155"/>
      <c r="P18" s="162">
        <f t="shared" si="2"/>
        <v>2</v>
      </c>
    </row>
    <row r="19" spans="1:16" ht="15">
      <c r="A19" s="167" t="s">
        <v>299</v>
      </c>
      <c r="B19" s="159"/>
      <c r="C19" s="160"/>
      <c r="D19" s="161"/>
      <c r="E19" s="154">
        <v>1</v>
      </c>
      <c r="F19" s="160"/>
      <c r="G19" s="161">
        <v>1</v>
      </c>
      <c r="H19" s="154"/>
      <c r="I19" s="160"/>
      <c r="J19" s="161"/>
      <c r="K19" s="159"/>
      <c r="L19" s="160"/>
      <c r="M19" s="161"/>
      <c r="N19" s="154">
        <f t="shared" si="1"/>
        <v>1</v>
      </c>
      <c r="O19" s="155"/>
      <c r="P19" s="162">
        <f>D19+G19+J19+M19</f>
        <v>1</v>
      </c>
    </row>
    <row r="20" spans="1:16" ht="15">
      <c r="A20" s="167" t="s">
        <v>395</v>
      </c>
      <c r="B20" s="159">
        <v>1</v>
      </c>
      <c r="C20" s="160"/>
      <c r="D20" s="161">
        <v>1</v>
      </c>
      <c r="E20" s="154"/>
      <c r="F20" s="160"/>
      <c r="G20" s="161"/>
      <c r="H20" s="154"/>
      <c r="I20" s="160"/>
      <c r="J20" s="161"/>
      <c r="K20" s="159"/>
      <c r="L20" s="160"/>
      <c r="M20" s="161"/>
      <c r="N20" s="154">
        <v>1</v>
      </c>
      <c r="O20" s="155"/>
      <c r="P20" s="162">
        <v>1</v>
      </c>
    </row>
    <row r="21" spans="1:16" ht="27">
      <c r="A21" s="158" t="s">
        <v>300</v>
      </c>
      <c r="B21" s="159">
        <v>21</v>
      </c>
      <c r="C21" s="160"/>
      <c r="D21" s="161">
        <v>21</v>
      </c>
      <c r="E21" s="159">
        <f>SUM(E18:E19)</f>
        <v>2</v>
      </c>
      <c r="F21" s="160"/>
      <c r="G21" s="161">
        <f>SUM(G16:G19)</f>
        <v>2</v>
      </c>
      <c r="H21" s="159">
        <f>SUM(H17:H19)</f>
        <v>2</v>
      </c>
      <c r="I21" s="160"/>
      <c r="J21" s="161">
        <f>SUM(J16:J19)</f>
        <v>2</v>
      </c>
      <c r="K21" s="159"/>
      <c r="L21" s="160"/>
      <c r="M21" s="161"/>
      <c r="N21" s="154">
        <f t="shared" si="1"/>
        <v>25</v>
      </c>
      <c r="O21" s="155"/>
      <c r="P21" s="162">
        <v>25</v>
      </c>
    </row>
    <row r="22" spans="1:16" ht="15">
      <c r="A22" s="153"/>
      <c r="B22" s="154"/>
      <c r="C22" s="155"/>
      <c r="D22" s="156"/>
      <c r="E22" s="154"/>
      <c r="F22" s="155"/>
      <c r="G22" s="156"/>
      <c r="H22" s="154"/>
      <c r="I22" s="155"/>
      <c r="J22" s="156"/>
      <c r="K22" s="154"/>
      <c r="L22" s="155"/>
      <c r="M22" s="156"/>
      <c r="N22" s="154">
        <f t="shared" si="1"/>
        <v>0</v>
      </c>
      <c r="O22" s="155"/>
      <c r="P22" s="162">
        <f t="shared" si="2"/>
        <v>0</v>
      </c>
    </row>
    <row r="23" spans="1:16" ht="27">
      <c r="A23" s="158" t="s">
        <v>301</v>
      </c>
      <c r="B23" s="159"/>
      <c r="C23" s="160"/>
      <c r="D23" s="161"/>
      <c r="E23" s="159"/>
      <c r="F23" s="160"/>
      <c r="G23" s="161"/>
      <c r="H23" s="159"/>
      <c r="I23" s="160"/>
      <c r="J23" s="161"/>
      <c r="K23" s="159"/>
      <c r="L23" s="160"/>
      <c r="M23" s="161"/>
      <c r="N23" s="154">
        <f t="shared" si="1"/>
        <v>0</v>
      </c>
      <c r="O23" s="155"/>
      <c r="P23" s="162">
        <f t="shared" si="2"/>
        <v>0</v>
      </c>
    </row>
    <row r="24" spans="1:16" ht="15">
      <c r="A24" s="274" t="s">
        <v>302</v>
      </c>
      <c r="B24" s="154"/>
      <c r="C24" s="155"/>
      <c r="D24" s="156">
        <f>SUM(B24:C24)</f>
        <v>0</v>
      </c>
      <c r="E24" s="154">
        <v>25</v>
      </c>
      <c r="F24" s="155"/>
      <c r="G24" s="161">
        <f>SUM(E24:F24)</f>
        <v>25</v>
      </c>
      <c r="H24" s="154"/>
      <c r="I24" s="155"/>
      <c r="J24" s="156"/>
      <c r="K24" s="154"/>
      <c r="L24" s="155"/>
      <c r="M24" s="156"/>
      <c r="N24" s="154">
        <f t="shared" si="1"/>
        <v>25</v>
      </c>
      <c r="O24" s="155"/>
      <c r="P24" s="162">
        <f t="shared" si="2"/>
        <v>25</v>
      </c>
    </row>
    <row r="25" spans="1:16" ht="15">
      <c r="A25" s="274" t="s">
        <v>303</v>
      </c>
      <c r="B25" s="154"/>
      <c r="C25" s="155"/>
      <c r="D25" s="156">
        <f>SUM(B25:C25)</f>
        <v>0</v>
      </c>
      <c r="E25" s="154">
        <v>11</v>
      </c>
      <c r="F25" s="155"/>
      <c r="G25" s="161">
        <f>SUM(E25:F25)</f>
        <v>11</v>
      </c>
      <c r="H25" s="154">
        <v>1</v>
      </c>
      <c r="I25" s="155"/>
      <c r="J25" s="161">
        <f>SUM(H25:I25)</f>
        <v>1</v>
      </c>
      <c r="K25" s="154"/>
      <c r="L25" s="155"/>
      <c r="M25" s="156"/>
      <c r="N25" s="154">
        <f t="shared" si="1"/>
        <v>12</v>
      </c>
      <c r="O25" s="155"/>
      <c r="P25" s="162">
        <f t="shared" si="2"/>
        <v>12</v>
      </c>
    </row>
    <row r="26" spans="1:16" ht="27">
      <c r="A26" s="158" t="s">
        <v>304</v>
      </c>
      <c r="B26" s="159">
        <f>SUM(B24:B25)</f>
        <v>0</v>
      </c>
      <c r="C26" s="160">
        <f>SUM(C24:C25)</f>
        <v>0</v>
      </c>
      <c r="D26" s="161">
        <f>SUM(D24:D25)</f>
        <v>0</v>
      </c>
      <c r="E26" s="159">
        <f>SUM(E24:E25)</f>
        <v>36</v>
      </c>
      <c r="F26" s="160"/>
      <c r="G26" s="161">
        <f>SUM(G24:G25)</f>
        <v>36</v>
      </c>
      <c r="H26" s="159">
        <f>SUM(H25)</f>
        <v>1</v>
      </c>
      <c r="I26" s="160"/>
      <c r="J26" s="161">
        <f>SUM(J25)</f>
        <v>1</v>
      </c>
      <c r="K26" s="159"/>
      <c r="L26" s="160"/>
      <c r="M26" s="161"/>
      <c r="N26" s="154">
        <f t="shared" si="1"/>
        <v>37</v>
      </c>
      <c r="O26" s="155"/>
      <c r="P26" s="162">
        <f t="shared" si="2"/>
        <v>37</v>
      </c>
    </row>
    <row r="27" spans="1:16" ht="15">
      <c r="A27" s="158"/>
      <c r="B27" s="159"/>
      <c r="C27" s="160"/>
      <c r="D27" s="161"/>
      <c r="E27" s="159"/>
      <c r="F27" s="160"/>
      <c r="G27" s="161"/>
      <c r="H27" s="159"/>
      <c r="I27" s="160"/>
      <c r="J27" s="161"/>
      <c r="K27" s="159"/>
      <c r="L27" s="160"/>
      <c r="M27" s="161"/>
      <c r="N27" s="154">
        <f t="shared" si="1"/>
        <v>0</v>
      </c>
      <c r="O27" s="155"/>
      <c r="P27" s="162">
        <f t="shared" si="2"/>
        <v>0</v>
      </c>
    </row>
    <row r="28" spans="1:16" ht="27">
      <c r="A28" s="158" t="s">
        <v>305</v>
      </c>
      <c r="B28" s="159"/>
      <c r="C28" s="160"/>
      <c r="D28" s="161"/>
      <c r="E28" s="159"/>
      <c r="F28" s="160"/>
      <c r="G28" s="161"/>
      <c r="H28" s="159"/>
      <c r="I28" s="160"/>
      <c r="J28" s="161"/>
      <c r="K28" s="159"/>
      <c r="L28" s="160"/>
      <c r="M28" s="161"/>
      <c r="N28" s="154">
        <f t="shared" si="1"/>
        <v>0</v>
      </c>
      <c r="O28" s="155"/>
      <c r="P28" s="162">
        <f t="shared" si="2"/>
        <v>0</v>
      </c>
    </row>
    <row r="29" spans="1:16" ht="15">
      <c r="A29" s="158" t="s">
        <v>396</v>
      </c>
      <c r="B29" s="159"/>
      <c r="C29" s="160"/>
      <c r="D29" s="161"/>
      <c r="E29" s="159"/>
      <c r="F29" s="160"/>
      <c r="G29" s="161"/>
      <c r="H29" s="154">
        <v>3</v>
      </c>
      <c r="I29" s="160"/>
      <c r="J29" s="161">
        <v>3</v>
      </c>
      <c r="K29" s="159"/>
      <c r="L29" s="160"/>
      <c r="M29" s="161"/>
      <c r="N29" s="154">
        <f t="shared" si="1"/>
        <v>3</v>
      </c>
      <c r="O29" s="155"/>
      <c r="P29" s="162">
        <f t="shared" si="2"/>
        <v>3</v>
      </c>
    </row>
    <row r="30" spans="1:16" ht="40.5">
      <c r="A30" s="158" t="s">
        <v>306</v>
      </c>
      <c r="B30" s="159"/>
      <c r="C30" s="160"/>
      <c r="D30" s="161"/>
      <c r="E30" s="159"/>
      <c r="F30" s="160"/>
      <c r="G30" s="161"/>
      <c r="H30" s="159">
        <f>SUM(H29)</f>
        <v>3</v>
      </c>
      <c r="I30" s="160"/>
      <c r="J30" s="161">
        <f>SUM(J29)</f>
        <v>3</v>
      </c>
      <c r="K30" s="159"/>
      <c r="L30" s="160"/>
      <c r="M30" s="161"/>
      <c r="N30" s="154">
        <f t="shared" si="1"/>
        <v>3</v>
      </c>
      <c r="O30" s="155"/>
      <c r="P30" s="162">
        <f t="shared" si="2"/>
        <v>3</v>
      </c>
    </row>
    <row r="31" spans="1:16" ht="15">
      <c r="A31" s="158"/>
      <c r="B31" s="159"/>
      <c r="C31" s="160"/>
      <c r="D31" s="161"/>
      <c r="E31" s="159"/>
      <c r="F31" s="160"/>
      <c r="G31" s="161"/>
      <c r="H31" s="159"/>
      <c r="I31" s="160"/>
      <c r="J31" s="161"/>
      <c r="K31" s="159"/>
      <c r="L31" s="160"/>
      <c r="M31" s="161"/>
      <c r="N31" s="154">
        <f t="shared" si="1"/>
        <v>0</v>
      </c>
      <c r="O31" s="155"/>
      <c r="P31" s="162">
        <f t="shared" si="2"/>
        <v>0</v>
      </c>
    </row>
    <row r="32" spans="1:16" ht="15.75" thickBot="1">
      <c r="A32" s="153"/>
      <c r="B32" s="154"/>
      <c r="C32" s="155"/>
      <c r="D32" s="156"/>
      <c r="E32" s="154"/>
      <c r="F32" s="155"/>
      <c r="G32" s="156"/>
      <c r="H32" s="154"/>
      <c r="I32" s="155"/>
      <c r="J32" s="156"/>
      <c r="K32" s="154"/>
      <c r="L32" s="155"/>
      <c r="M32" s="156"/>
      <c r="N32" s="154">
        <f t="shared" si="1"/>
        <v>0</v>
      </c>
      <c r="O32" s="155"/>
      <c r="P32" s="162">
        <f t="shared" si="2"/>
        <v>0</v>
      </c>
    </row>
    <row r="33" spans="1:16" ht="15.75" thickBot="1">
      <c r="A33" s="168" t="s">
        <v>253</v>
      </c>
      <c r="B33" s="169">
        <v>21</v>
      </c>
      <c r="C33" s="170">
        <f aca="true" t="shared" si="3" ref="C33:L33">C13+C15+C26</f>
        <v>0</v>
      </c>
      <c r="D33" s="170">
        <v>21</v>
      </c>
      <c r="E33" s="169">
        <f>E13+E21+E26+E30</f>
        <v>47</v>
      </c>
      <c r="F33" s="170">
        <f t="shared" si="3"/>
        <v>0</v>
      </c>
      <c r="G33" s="170">
        <f>G13+G21+G26+G30</f>
        <v>47</v>
      </c>
      <c r="H33" s="169">
        <f>H13+H21+H26+H30</f>
        <v>10</v>
      </c>
      <c r="I33" s="170">
        <f t="shared" si="3"/>
        <v>0</v>
      </c>
      <c r="J33" s="170">
        <f>J13+J21+J26+J30</f>
        <v>10</v>
      </c>
      <c r="K33" s="169">
        <f t="shared" si="3"/>
        <v>12</v>
      </c>
      <c r="L33" s="170">
        <f t="shared" si="3"/>
        <v>0</v>
      </c>
      <c r="M33" s="170">
        <f>M13+M21+M26+M30</f>
        <v>12</v>
      </c>
      <c r="N33" s="169">
        <v>90</v>
      </c>
      <c r="O33" s="170"/>
      <c r="P33" s="171">
        <v>90</v>
      </c>
    </row>
  </sheetData>
  <sheetProtection/>
  <mergeCells count="7">
    <mergeCell ref="A1:P1"/>
    <mergeCell ref="A3:A4"/>
    <mergeCell ref="B3:D3"/>
    <mergeCell ref="E3:G3"/>
    <mergeCell ref="H3:J3"/>
    <mergeCell ref="K3:M3"/>
    <mergeCell ref="N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46.00390625" style="0" bestFit="1" customWidth="1"/>
    <col min="3" max="6" width="15.57421875" style="0" bestFit="1" customWidth="1"/>
    <col min="8" max="8" width="12.00390625" style="0" bestFit="1" customWidth="1"/>
  </cols>
  <sheetData>
    <row r="1" spans="1:6" ht="15">
      <c r="A1" s="491" t="s">
        <v>316</v>
      </c>
      <c r="B1" s="491"/>
      <c r="C1" s="491"/>
      <c r="D1" s="491"/>
      <c r="E1" s="491"/>
      <c r="F1" s="491"/>
    </row>
    <row r="2" spans="1:5" ht="15.75">
      <c r="A2" s="128"/>
      <c r="B2" s="128"/>
      <c r="C2" s="172"/>
      <c r="D2" s="172"/>
      <c r="E2" s="139"/>
    </row>
    <row r="3" spans="1:5" ht="15.75">
      <c r="A3" s="588" t="s">
        <v>315</v>
      </c>
      <c r="B3" s="588"/>
      <c r="C3" s="588"/>
      <c r="D3" s="588"/>
      <c r="E3" s="139"/>
    </row>
    <row r="4" spans="1:5" ht="15.75">
      <c r="A4" s="128"/>
      <c r="B4" s="128"/>
      <c r="C4" s="172"/>
      <c r="D4" s="172"/>
      <c r="E4" s="139"/>
    </row>
    <row r="5" spans="1:5" ht="15.75">
      <c r="A5" s="594"/>
      <c r="B5" s="594"/>
      <c r="C5" s="594"/>
      <c r="D5" s="594"/>
      <c r="E5" s="139"/>
    </row>
    <row r="6" spans="1:5" ht="15.75">
      <c r="A6" s="595" t="s">
        <v>307</v>
      </c>
      <c r="B6" s="595"/>
      <c r="C6" s="595"/>
      <c r="D6" s="595"/>
      <c r="E6" s="139"/>
    </row>
    <row r="7" spans="1:6" ht="15.75">
      <c r="A7" s="174" t="s">
        <v>308</v>
      </c>
      <c r="B7" s="174"/>
      <c r="C7" s="175" t="s">
        <v>309</v>
      </c>
      <c r="D7" s="176" t="s">
        <v>310</v>
      </c>
      <c r="E7" s="177" t="s">
        <v>311</v>
      </c>
      <c r="F7" s="177" t="s">
        <v>314</v>
      </c>
    </row>
    <row r="8" spans="1:6" ht="15">
      <c r="A8" s="178" t="s">
        <v>269</v>
      </c>
      <c r="B8" s="178" t="s">
        <v>173</v>
      </c>
      <c r="C8" s="178">
        <f>Mérleg!C8</f>
        <v>547224633.5</v>
      </c>
      <c r="D8" s="179">
        <f>C8*1.01</f>
        <v>552696879.835</v>
      </c>
      <c r="E8" s="179">
        <f>D8*1.01</f>
        <v>558223848.63335</v>
      </c>
      <c r="F8" s="179">
        <f>E8*1.01</f>
        <v>563806087.1196835</v>
      </c>
    </row>
    <row r="9" spans="1:6" ht="15">
      <c r="A9" s="178" t="s">
        <v>270</v>
      </c>
      <c r="B9" s="178" t="s">
        <v>187</v>
      </c>
      <c r="C9" s="178">
        <f>Mérleg!C9</f>
        <v>58600000</v>
      </c>
      <c r="D9" s="179">
        <f>C9*1.01</f>
        <v>59186000</v>
      </c>
      <c r="E9" s="179">
        <f>D9*1.01</f>
        <v>59777860</v>
      </c>
      <c r="F9" s="179">
        <f>E9*1.01</f>
        <v>60375638.6</v>
      </c>
    </row>
    <row r="10" spans="1:6" ht="15">
      <c r="A10" s="178" t="s">
        <v>271</v>
      </c>
      <c r="B10" s="178" t="s">
        <v>201</v>
      </c>
      <c r="C10" s="178">
        <f>Mérleg!C10</f>
        <v>64490640.67757781</v>
      </c>
      <c r="D10" s="179">
        <f>C10*1.01</f>
        <v>65135547.08435359</v>
      </c>
      <c r="E10" s="179">
        <f>D10*1.01</f>
        <v>65786902.55519713</v>
      </c>
      <c r="F10" s="179">
        <f>E10*1.01</f>
        <v>66444771.5807491</v>
      </c>
    </row>
    <row r="11" spans="1:6" ht="15">
      <c r="A11" s="178" t="s">
        <v>272</v>
      </c>
      <c r="B11" s="178" t="s">
        <v>209</v>
      </c>
      <c r="C11" s="178">
        <f>Mérleg!C11</f>
        <v>3687509</v>
      </c>
      <c r="D11" s="179">
        <f>C11*1.01</f>
        <v>3724384.09</v>
      </c>
      <c r="E11" s="179">
        <f>D11*1.01</f>
        <v>3761627.9309</v>
      </c>
      <c r="F11" s="179">
        <f>E11*1.01</f>
        <v>3799244.210209</v>
      </c>
    </row>
    <row r="12" spans="1:6" ht="15">
      <c r="A12" s="180" t="s">
        <v>274</v>
      </c>
      <c r="B12" s="180"/>
      <c r="C12" s="181">
        <f>SUM(C8:C11)</f>
        <v>674002783.1775779</v>
      </c>
      <c r="D12" s="181">
        <f>SUM(D8:D11)</f>
        <v>680742811.0093536</v>
      </c>
      <c r="E12" s="181">
        <f>SUM(E8:E11)</f>
        <v>687550239.1194471</v>
      </c>
      <c r="F12" s="181">
        <f>SUM(F8:F11)</f>
        <v>694425741.5106417</v>
      </c>
    </row>
    <row r="13" spans="1:6" ht="15">
      <c r="A13" s="178" t="s">
        <v>275</v>
      </c>
      <c r="B13" s="182" t="s">
        <v>177</v>
      </c>
      <c r="C13" s="178">
        <f>Mérleg!C13</f>
        <v>11328185</v>
      </c>
      <c r="D13" s="179">
        <v>0</v>
      </c>
      <c r="E13" s="179">
        <f>D13</f>
        <v>0</v>
      </c>
      <c r="F13" s="179">
        <f>E13</f>
        <v>0</v>
      </c>
    </row>
    <row r="14" spans="1:6" ht="15">
      <c r="A14" s="178" t="s">
        <v>204</v>
      </c>
      <c r="B14" s="182" t="s">
        <v>205</v>
      </c>
      <c r="C14" s="178">
        <f>Mérleg!C14</f>
        <v>3102000</v>
      </c>
      <c r="D14" s="179">
        <v>0</v>
      </c>
      <c r="E14" s="179">
        <v>0</v>
      </c>
      <c r="F14" s="179">
        <f>E14*1.01</f>
        <v>0</v>
      </c>
    </row>
    <row r="15" spans="1:6" ht="15">
      <c r="A15" s="178" t="s">
        <v>212</v>
      </c>
      <c r="B15" s="182" t="s">
        <v>213</v>
      </c>
      <c r="C15" s="178">
        <f>Mérleg!C15</f>
        <v>1000000</v>
      </c>
      <c r="D15" s="178">
        <v>1000000</v>
      </c>
      <c r="E15" s="178">
        <v>1000000</v>
      </c>
      <c r="F15" s="178">
        <v>1000000</v>
      </c>
    </row>
    <row r="16" spans="1:6" ht="15">
      <c r="A16" s="180" t="s">
        <v>276</v>
      </c>
      <c r="B16" s="183"/>
      <c r="C16" s="181">
        <f>SUM(C13:C15)</f>
        <v>15430185</v>
      </c>
      <c r="D16" s="181">
        <f>SUM(D13:D15)</f>
        <v>1000000</v>
      </c>
      <c r="E16" s="181">
        <f>SUM(E13:E15)</f>
        <v>1000000</v>
      </c>
      <c r="F16" s="181">
        <f>SUM(F13:F15)</f>
        <v>1000000</v>
      </c>
    </row>
    <row r="17" spans="1:6" ht="15">
      <c r="A17" s="182" t="s">
        <v>223</v>
      </c>
      <c r="B17" s="182" t="s">
        <v>224</v>
      </c>
      <c r="C17" s="184">
        <f>Mérleg!C17</f>
        <v>610658447.76</v>
      </c>
      <c r="D17" s="185">
        <f>C17*1.01</f>
        <v>616765032.2376</v>
      </c>
      <c r="E17" s="185">
        <f>D17*1.01</f>
        <v>622932682.559976</v>
      </c>
      <c r="F17" s="185">
        <f>E17*1.01</f>
        <v>629162009.3855758</v>
      </c>
    </row>
    <row r="18" spans="1:6" ht="15">
      <c r="A18" s="186" t="s">
        <v>277</v>
      </c>
      <c r="B18" s="186"/>
      <c r="C18" s="187">
        <f>C12+C16+C17</f>
        <v>1300091415.9375777</v>
      </c>
      <c r="D18" s="188">
        <f>D12+D16+D17</f>
        <v>1298507843.2469535</v>
      </c>
      <c r="E18" s="189">
        <f>E12+E16+E17</f>
        <v>1311482921.679423</v>
      </c>
      <c r="F18" s="189">
        <f>F12+F16+F17</f>
        <v>1324587750.8962173</v>
      </c>
    </row>
    <row r="19" spans="1:6" ht="15.75">
      <c r="A19" s="174" t="s">
        <v>312</v>
      </c>
      <c r="B19" s="174"/>
      <c r="C19" s="175" t="s">
        <v>309</v>
      </c>
      <c r="D19" s="176" t="s">
        <v>310</v>
      </c>
      <c r="E19" s="177" t="s">
        <v>311</v>
      </c>
      <c r="F19" s="204" t="s">
        <v>314</v>
      </c>
    </row>
    <row r="20" spans="1:6" ht="15">
      <c r="A20" s="190" t="s">
        <v>48</v>
      </c>
      <c r="B20" s="190" t="s">
        <v>49</v>
      </c>
      <c r="C20" s="191">
        <f>Mérleg!G8</f>
        <v>397945980.5</v>
      </c>
      <c r="D20" s="191">
        <f>C20*1.1</f>
        <v>437740578.55</v>
      </c>
      <c r="E20" s="191">
        <f>D20*1.1</f>
        <v>481514636.40500003</v>
      </c>
      <c r="F20" s="191">
        <f>E20*1.1</f>
        <v>529666100.0455001</v>
      </c>
    </row>
    <row r="21" spans="1:6" ht="15">
      <c r="A21" s="192" t="s">
        <v>313</v>
      </c>
      <c r="B21" s="192" t="s">
        <v>52</v>
      </c>
      <c r="C21" s="132">
        <f>Mérleg!G9</f>
        <v>51246275.89000001</v>
      </c>
      <c r="D21" s="132">
        <f>D20*0.155</f>
        <v>67849789.67525001</v>
      </c>
      <c r="E21" s="132">
        <f>E20*0.155</f>
        <v>74634768.642775</v>
      </c>
      <c r="F21" s="179">
        <v>75381115</v>
      </c>
    </row>
    <row r="22" spans="1:6" ht="15">
      <c r="A22" s="192" t="s">
        <v>90</v>
      </c>
      <c r="B22" s="192" t="s">
        <v>91</v>
      </c>
      <c r="C22" s="132">
        <f>Mérleg!G10</f>
        <v>199343655.2</v>
      </c>
      <c r="D22" s="132">
        <f>C22*1.01</f>
        <v>201337091.752</v>
      </c>
      <c r="E22" s="132">
        <f>D22*1.01</f>
        <v>203350462.66952002</v>
      </c>
      <c r="F22" s="179">
        <f>E22*1.01</f>
        <v>205383967.29621524</v>
      </c>
    </row>
    <row r="23" spans="1:6" ht="15">
      <c r="A23" s="192" t="s">
        <v>99</v>
      </c>
      <c r="B23" s="192" t="s">
        <v>100</v>
      </c>
      <c r="C23" s="132">
        <f>Mérleg!G11</f>
        <v>12000000</v>
      </c>
      <c r="D23" s="132">
        <v>14000000</v>
      </c>
      <c r="E23" s="132">
        <v>15000000</v>
      </c>
      <c r="F23" s="179">
        <f>E23*1.01</f>
        <v>15150000</v>
      </c>
    </row>
    <row r="24" spans="1:6" ht="15">
      <c r="A24" s="132" t="s">
        <v>111</v>
      </c>
      <c r="B24" s="192" t="s">
        <v>112</v>
      </c>
      <c r="C24" s="132">
        <f>Mérleg!G12</f>
        <v>46470848</v>
      </c>
      <c r="D24" s="132">
        <v>50000000</v>
      </c>
      <c r="E24" s="132">
        <v>50000000</v>
      </c>
      <c r="F24" s="179">
        <f>E24*1.01</f>
        <v>50500000</v>
      </c>
    </row>
    <row r="25" spans="1:6" ht="15">
      <c r="A25" s="193" t="s">
        <v>274</v>
      </c>
      <c r="B25" s="194"/>
      <c r="C25" s="195">
        <f>SUM(C20:C24)</f>
        <v>707006759.5899999</v>
      </c>
      <c r="D25" s="196">
        <f>SUM(D20:D24)</f>
        <v>770927459.97725</v>
      </c>
      <c r="E25" s="196">
        <f>SUM(E20:E24)</f>
        <v>824499867.717295</v>
      </c>
      <c r="F25" s="196">
        <f>SUM(F20:F24)</f>
        <v>876081182.3417153</v>
      </c>
    </row>
    <row r="26" spans="1:6" ht="15">
      <c r="A26" s="132" t="s">
        <v>123</v>
      </c>
      <c r="B26" s="192" t="s">
        <v>124</v>
      </c>
      <c r="C26" s="197">
        <f>Mérleg!G14</f>
        <v>150484247.42000002</v>
      </c>
      <c r="D26" s="197">
        <v>90049739</v>
      </c>
      <c r="E26" s="197">
        <v>45360104</v>
      </c>
      <c r="F26" s="179">
        <v>2750388</v>
      </c>
    </row>
    <row r="27" spans="1:6" ht="15">
      <c r="A27" s="192" t="s">
        <v>132</v>
      </c>
      <c r="B27" s="192" t="s">
        <v>133</v>
      </c>
      <c r="C27" s="132">
        <f>Mérleg!G15</f>
        <v>31421553.227142856</v>
      </c>
      <c r="D27" s="132">
        <v>28300000</v>
      </c>
      <c r="E27" s="132">
        <v>28300000</v>
      </c>
      <c r="F27" s="132">
        <v>28300000</v>
      </c>
    </row>
    <row r="28" spans="1:6" ht="15">
      <c r="A28" s="132" t="s">
        <v>138</v>
      </c>
      <c r="B28" s="198" t="s">
        <v>139</v>
      </c>
      <c r="C28" s="132">
        <f>Mérleg!G16</f>
        <v>6000000</v>
      </c>
      <c r="D28" s="199">
        <v>0</v>
      </c>
      <c r="E28" s="141">
        <v>0</v>
      </c>
      <c r="F28" s="179">
        <f>E28*1.01</f>
        <v>0</v>
      </c>
    </row>
    <row r="29" spans="1:6" ht="15">
      <c r="A29" s="193" t="s">
        <v>276</v>
      </c>
      <c r="B29" s="194"/>
      <c r="C29" s="195">
        <f>SUM(C26:C28)</f>
        <v>187905800.6471429</v>
      </c>
      <c r="D29" s="195">
        <f>SUM(D26:D28)</f>
        <v>118349739</v>
      </c>
      <c r="E29" s="195">
        <f>SUM(E26:E28)</f>
        <v>73660104</v>
      </c>
      <c r="F29" s="195">
        <f>SUM(F26:F28)</f>
        <v>31050388</v>
      </c>
    </row>
    <row r="30" spans="1:6" ht="15">
      <c r="A30" s="132" t="s">
        <v>151</v>
      </c>
      <c r="B30" s="200" t="s">
        <v>152</v>
      </c>
      <c r="C30" s="141">
        <f>Mérleg!G18</f>
        <v>405178855.76</v>
      </c>
      <c r="D30" s="201">
        <f>C30*1.01</f>
        <v>409230644.3176</v>
      </c>
      <c r="E30" s="141">
        <f>D30*1.01</f>
        <v>413322950.76077604</v>
      </c>
      <c r="F30" s="179">
        <f>E30*1.01</f>
        <v>417456180.2683838</v>
      </c>
    </row>
    <row r="31" spans="1:6" ht="15">
      <c r="A31" s="202" t="s">
        <v>278</v>
      </c>
      <c r="B31" s="203"/>
      <c r="C31" s="202">
        <f>C25+C29+C30</f>
        <v>1300091415.9971428</v>
      </c>
      <c r="D31" s="202">
        <f>D25+D29+D30</f>
        <v>1298507843.2948499</v>
      </c>
      <c r="E31" s="202">
        <f>E25+E29+E30</f>
        <v>1311482922.4780712</v>
      </c>
      <c r="F31" s="202">
        <f>F25+F29+F30</f>
        <v>1324587750.610099</v>
      </c>
    </row>
  </sheetData>
  <sheetProtection/>
  <mergeCells count="4">
    <mergeCell ref="A3:D3"/>
    <mergeCell ref="A5:D5"/>
    <mergeCell ref="A6:D6"/>
    <mergeCell ref="A1:F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O18" sqref="O18"/>
    </sheetView>
  </sheetViews>
  <sheetFormatPr defaultColWidth="9.140625" defaultRowHeight="15"/>
  <sheetData>
    <row r="1" spans="1:11" ht="15">
      <c r="A1" s="491" t="s">
        <v>317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</row>
    <row r="2" ht="15.75">
      <c r="B2" s="205"/>
    </row>
    <row r="3" ht="15.75">
      <c r="B3" s="205"/>
    </row>
    <row r="4" ht="15.75">
      <c r="B4" s="206"/>
    </row>
    <row r="5" spans="2:11" ht="15">
      <c r="B5" s="588" t="s">
        <v>318</v>
      </c>
      <c r="C5" s="596"/>
      <c r="D5" s="596"/>
      <c r="E5" s="596"/>
      <c r="F5" s="596"/>
      <c r="G5" s="596"/>
      <c r="H5" s="596"/>
      <c r="I5" s="596"/>
      <c r="J5" s="596"/>
      <c r="K5" s="596"/>
    </row>
    <row r="6" ht="15.75">
      <c r="B6" s="206"/>
    </row>
    <row r="7" spans="2:12" ht="15">
      <c r="B7" s="597" t="s">
        <v>416</v>
      </c>
      <c r="C7" s="598"/>
      <c r="D7" s="598"/>
      <c r="E7" s="598"/>
      <c r="F7" s="598"/>
      <c r="G7" s="598"/>
      <c r="H7" s="598"/>
      <c r="I7" s="598"/>
      <c r="J7" s="598"/>
      <c r="L7" t="s">
        <v>414</v>
      </c>
    </row>
    <row r="8" spans="2:10" ht="15">
      <c r="B8" s="598"/>
      <c r="C8" s="598"/>
      <c r="D8" s="598"/>
      <c r="E8" s="598"/>
      <c r="F8" s="598"/>
      <c r="G8" s="598"/>
      <c r="H8" s="598"/>
      <c r="I8" s="598"/>
      <c r="J8" s="598"/>
    </row>
    <row r="9" spans="2:10" ht="15">
      <c r="B9" s="599"/>
      <c r="C9" s="599"/>
      <c r="D9" s="599"/>
      <c r="E9" s="599"/>
      <c r="F9" s="599"/>
      <c r="G9" s="599"/>
      <c r="H9" s="599"/>
      <c r="I9" s="599"/>
      <c r="J9" s="599"/>
    </row>
    <row r="10" spans="2:10" ht="15">
      <c r="B10" s="207"/>
      <c r="C10" s="207"/>
      <c r="D10" s="207"/>
      <c r="E10" s="207"/>
      <c r="F10" s="207"/>
      <c r="G10" s="207"/>
      <c r="H10" s="207"/>
      <c r="I10" s="207"/>
      <c r="J10" s="207"/>
    </row>
    <row r="11" spans="2:10" ht="15">
      <c r="B11" s="600" t="s">
        <v>417</v>
      </c>
      <c r="C11" s="600"/>
      <c r="D11" s="600"/>
      <c r="E11" s="600"/>
      <c r="F11" s="600"/>
      <c r="G11" s="600"/>
      <c r="H11" s="600"/>
      <c r="I11" s="600"/>
      <c r="J11" s="600"/>
    </row>
  </sheetData>
  <sheetProtection/>
  <mergeCells count="5">
    <mergeCell ref="A1:K1"/>
    <mergeCell ref="B5:K5"/>
    <mergeCell ref="B7:J8"/>
    <mergeCell ref="B9:J9"/>
    <mergeCell ref="B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9.140625" style="344" customWidth="1"/>
    <col min="2" max="2" width="33.00390625" style="344" bestFit="1" customWidth="1"/>
    <col min="3" max="3" width="14.421875" style="344" bestFit="1" customWidth="1"/>
    <col min="4" max="4" width="12.7109375" style="344" bestFit="1" customWidth="1"/>
    <col min="5" max="6" width="11.8515625" style="344" bestFit="1" customWidth="1"/>
    <col min="7" max="16384" width="9.140625" style="344" customWidth="1"/>
  </cols>
  <sheetData>
    <row r="1" spans="1:6" ht="15">
      <c r="A1" s="491" t="s">
        <v>352</v>
      </c>
      <c r="B1" s="491"/>
      <c r="C1" s="491"/>
      <c r="D1" s="491"/>
      <c r="E1" s="491"/>
      <c r="F1" s="491"/>
    </row>
    <row r="3" spans="1:5" ht="15.75">
      <c r="A3" s="601"/>
      <c r="B3" s="601"/>
      <c r="C3" s="601"/>
      <c r="D3" s="601"/>
      <c r="E3" s="601"/>
    </row>
    <row r="4" spans="1:5" ht="15">
      <c r="A4" s="602" t="s">
        <v>319</v>
      </c>
      <c r="B4" s="602"/>
      <c r="C4" s="602"/>
      <c r="D4" s="602"/>
      <c r="E4" s="602"/>
    </row>
    <row r="5" spans="1:5" ht="15">
      <c r="A5" s="603" t="s">
        <v>320</v>
      </c>
      <c r="B5" s="603"/>
      <c r="C5" s="603"/>
      <c r="D5" s="603"/>
      <c r="E5" s="603"/>
    </row>
    <row r="8" spans="1:6" ht="28.5">
      <c r="A8" s="208" t="s">
        <v>321</v>
      </c>
      <c r="B8" s="209" t="s">
        <v>322</v>
      </c>
      <c r="C8" s="210" t="s">
        <v>323</v>
      </c>
      <c r="D8" s="209">
        <v>2022</v>
      </c>
      <c r="E8" s="209">
        <v>2023</v>
      </c>
      <c r="F8" s="209">
        <v>2024</v>
      </c>
    </row>
    <row r="9" spans="1:6" ht="15">
      <c r="A9" s="211">
        <v>1</v>
      </c>
      <c r="B9" s="9" t="s">
        <v>324</v>
      </c>
      <c r="C9" s="212" t="s">
        <v>325</v>
      </c>
      <c r="D9" s="213">
        <v>17040000</v>
      </c>
      <c r="E9" s="213">
        <v>17040000</v>
      </c>
      <c r="F9" s="213">
        <v>17040000</v>
      </c>
    </row>
    <row r="10" spans="1:6" ht="15">
      <c r="A10" s="211">
        <v>2</v>
      </c>
      <c r="B10" s="9" t="s">
        <v>326</v>
      </c>
      <c r="C10" s="9" t="s">
        <v>327</v>
      </c>
      <c r="D10" s="328">
        <v>2000000</v>
      </c>
      <c r="E10" s="328">
        <v>990600</v>
      </c>
      <c r="F10" s="328">
        <v>990600</v>
      </c>
    </row>
    <row r="11" spans="1:5" ht="15">
      <c r="A11" s="67">
        <v>3</v>
      </c>
      <c r="B11" s="9" t="s">
        <v>328</v>
      </c>
      <c r="C11" s="9" t="s">
        <v>329</v>
      </c>
      <c r="D11" s="213">
        <v>304800</v>
      </c>
      <c r="E11" s="213"/>
    </row>
    <row r="12" spans="1:6" ht="15">
      <c r="A12" s="211">
        <v>4</v>
      </c>
      <c r="B12" s="9" t="s">
        <v>330</v>
      </c>
      <c r="C12" s="9" t="s">
        <v>331</v>
      </c>
      <c r="D12" s="213">
        <v>12700000</v>
      </c>
      <c r="E12" s="213">
        <v>12700000</v>
      </c>
      <c r="F12" s="213">
        <v>12700000</v>
      </c>
    </row>
    <row r="13" spans="1:5" ht="15">
      <c r="A13" s="67">
        <v>5</v>
      </c>
      <c r="B13" s="9" t="s">
        <v>332</v>
      </c>
      <c r="C13" s="9" t="s">
        <v>333</v>
      </c>
      <c r="D13" s="329">
        <f>'[8]Beruházás'!$N$39</f>
        <v>64147956</v>
      </c>
      <c r="E13" s="214"/>
    </row>
  </sheetData>
  <sheetProtection/>
  <mergeCells count="4">
    <mergeCell ref="A3:E3"/>
    <mergeCell ref="A4:E4"/>
    <mergeCell ref="A5:E5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pane xSplit="1" topLeftCell="H1" activePane="topRight" state="frozen"/>
      <selection pane="topLeft" activeCell="A4" sqref="A4"/>
      <selection pane="topRight" activeCell="O8" sqref="O8:Q8"/>
    </sheetView>
  </sheetViews>
  <sheetFormatPr defaultColWidth="9.140625" defaultRowHeight="15"/>
  <cols>
    <col min="1" max="1" width="31.8515625" style="342" bestFit="1" customWidth="1"/>
    <col min="2" max="13" width="14.140625" style="342" bestFit="1" customWidth="1"/>
    <col min="14" max="14" width="15.57421875" style="342" bestFit="1" customWidth="1"/>
    <col min="15" max="15" width="14.57421875" style="342" bestFit="1" customWidth="1"/>
    <col min="16" max="17" width="13.57421875" style="342" bestFit="1" customWidth="1"/>
    <col min="18" max="18" width="12.00390625" style="342" bestFit="1" customWidth="1"/>
    <col min="19" max="16384" width="9.140625" style="342" customWidth="1"/>
  </cols>
  <sheetData>
    <row r="1" spans="1:14" ht="15">
      <c r="A1" s="491" t="s">
        <v>386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</row>
    <row r="2" spans="1:14" ht="15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215"/>
    </row>
    <row r="3" spans="1:14" ht="15.75">
      <c r="A3" s="587" t="s">
        <v>430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</row>
    <row r="4" spans="1:14" ht="15.75">
      <c r="A4" s="594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</row>
    <row r="5" spans="1:14" ht="15.75">
      <c r="A5" s="128"/>
      <c r="B5" s="128"/>
      <c r="C5" s="128"/>
      <c r="D5" s="128"/>
      <c r="E5" s="128"/>
      <c r="F5" s="128"/>
      <c r="G5" s="128"/>
      <c r="H5" s="128"/>
      <c r="I5" s="172"/>
      <c r="J5" s="128"/>
      <c r="K5" s="128"/>
      <c r="L5" s="128"/>
      <c r="M5" s="128"/>
      <c r="N5" s="215"/>
    </row>
    <row r="6" spans="1:14" ht="15">
      <c r="A6" s="216" t="s">
        <v>242</v>
      </c>
      <c r="B6" s="216" t="s">
        <v>334</v>
      </c>
      <c r="C6" s="216" t="s">
        <v>335</v>
      </c>
      <c r="D6" s="216" t="s">
        <v>336</v>
      </c>
      <c r="E6" s="216" t="s">
        <v>337</v>
      </c>
      <c r="F6" s="216" t="s">
        <v>338</v>
      </c>
      <c r="G6" s="216" t="s">
        <v>339</v>
      </c>
      <c r="H6" s="216" t="s">
        <v>340</v>
      </c>
      <c r="I6" s="216" t="s">
        <v>341</v>
      </c>
      <c r="J6" s="216" t="s">
        <v>342</v>
      </c>
      <c r="K6" s="216" t="s">
        <v>343</v>
      </c>
      <c r="L6" s="216" t="s">
        <v>344</v>
      </c>
      <c r="M6" s="216" t="s">
        <v>345</v>
      </c>
      <c r="N6" s="217" t="s">
        <v>250</v>
      </c>
    </row>
    <row r="7" spans="1:14" ht="15">
      <c r="A7" s="605" t="s">
        <v>346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</row>
    <row r="8" spans="1:16" ht="26.25">
      <c r="A8" s="218" t="s">
        <v>269</v>
      </c>
      <c r="B8" s="219">
        <f>N8/12</f>
        <v>45602052.791666664</v>
      </c>
      <c r="C8" s="219">
        <v>44352053</v>
      </c>
      <c r="D8" s="219">
        <v>44352053</v>
      </c>
      <c r="E8" s="219">
        <v>44352053</v>
      </c>
      <c r="F8" s="219">
        <v>44352053</v>
      </c>
      <c r="G8" s="219">
        <f>44352053+7500000</f>
        <v>51852053</v>
      </c>
      <c r="H8" s="219">
        <v>44352053</v>
      </c>
      <c r="I8" s="219">
        <v>44352053</v>
      </c>
      <c r="J8" s="219">
        <v>44352053</v>
      </c>
      <c r="K8" s="219">
        <v>44352053</v>
      </c>
      <c r="L8" s="219">
        <f>44352053+7500000</f>
        <v>51852053</v>
      </c>
      <c r="M8" s="219">
        <v>44352053</v>
      </c>
      <c r="N8" s="220">
        <f>'bev.össz'!G15</f>
        <v>547224633.5</v>
      </c>
      <c r="O8" s="235"/>
      <c r="P8" s="235"/>
    </row>
    <row r="9" spans="1:14" ht="15">
      <c r="A9" s="221" t="s">
        <v>270</v>
      </c>
      <c r="B9" s="222"/>
      <c r="C9" s="223"/>
      <c r="D9" s="223">
        <f>N9/4</f>
        <v>14650000</v>
      </c>
      <c r="E9" s="223">
        <v>14625000</v>
      </c>
      <c r="F9" s="223"/>
      <c r="G9" s="223"/>
      <c r="H9" s="223"/>
      <c r="I9" s="223"/>
      <c r="J9" s="223">
        <v>14625000</v>
      </c>
      <c r="K9" s="223">
        <v>14625000</v>
      </c>
      <c r="L9" s="223"/>
      <c r="M9" s="223"/>
      <c r="N9" s="224">
        <f>'bev.össz'!G22</f>
        <v>58600000</v>
      </c>
    </row>
    <row r="10" spans="1:15" ht="15">
      <c r="A10" s="221" t="s">
        <v>271</v>
      </c>
      <c r="B10" s="225">
        <f>N10/12</f>
        <v>5374220.056464817</v>
      </c>
      <c r="C10" s="225">
        <v>5374220</v>
      </c>
      <c r="D10" s="225">
        <v>5374220</v>
      </c>
      <c r="E10" s="225">
        <v>5374220</v>
      </c>
      <c r="F10" s="225">
        <v>5374220</v>
      </c>
      <c r="G10" s="225">
        <v>5374220</v>
      </c>
      <c r="H10" s="225">
        <v>5374220</v>
      </c>
      <c r="I10" s="225">
        <v>5374220</v>
      </c>
      <c r="J10" s="225">
        <v>5374220</v>
      </c>
      <c r="K10" s="225">
        <v>5374220</v>
      </c>
      <c r="L10" s="225">
        <v>5374220</v>
      </c>
      <c r="M10" s="225">
        <v>5374220</v>
      </c>
      <c r="N10" s="224">
        <f>'bev.össz'!G29</f>
        <v>64490640.67757781</v>
      </c>
      <c r="O10" s="235"/>
    </row>
    <row r="11" spans="1:14" ht="15">
      <c r="A11" s="226" t="s">
        <v>272</v>
      </c>
      <c r="B11" s="227"/>
      <c r="C11" s="228"/>
      <c r="D11" s="228"/>
      <c r="E11" s="228"/>
      <c r="F11" s="228"/>
      <c r="G11" s="228"/>
      <c r="H11" s="228"/>
      <c r="I11" s="228"/>
      <c r="J11" s="228"/>
      <c r="K11" s="228"/>
      <c r="L11" s="228">
        <v>3687509</v>
      </c>
      <c r="M11" s="228"/>
      <c r="N11" s="224">
        <f>'bev.össz'!G33</f>
        <v>3687509</v>
      </c>
    </row>
    <row r="12" spans="1:14" ht="26.25">
      <c r="A12" s="218" t="s">
        <v>275</v>
      </c>
      <c r="B12" s="227"/>
      <c r="C12" s="228"/>
      <c r="D12" s="228"/>
      <c r="E12" s="228"/>
      <c r="F12" s="228"/>
      <c r="G12" s="228">
        <f>N12</f>
        <v>11328185</v>
      </c>
      <c r="H12" s="228"/>
      <c r="I12" s="228"/>
      <c r="J12" s="228"/>
      <c r="K12" s="228"/>
      <c r="L12" s="228"/>
      <c r="M12" s="228"/>
      <c r="N12" s="220">
        <f>'bev.össz'!G17</f>
        <v>11328185</v>
      </c>
    </row>
    <row r="13" spans="1:14" ht="15">
      <c r="A13" s="229" t="s">
        <v>204</v>
      </c>
      <c r="B13" s="227"/>
      <c r="C13" s="228">
        <v>3102000</v>
      </c>
      <c r="D13" s="228"/>
      <c r="E13" s="236"/>
      <c r="F13" s="228"/>
      <c r="G13" s="228"/>
      <c r="H13" s="228"/>
      <c r="I13" s="236"/>
      <c r="J13" s="228"/>
      <c r="K13" s="228"/>
      <c r="L13" s="228"/>
      <c r="M13" s="228"/>
      <c r="N13" s="220">
        <f>'bev.össz'!G31</f>
        <v>3102000</v>
      </c>
    </row>
    <row r="14" spans="1:14" ht="15">
      <c r="A14" s="139" t="s">
        <v>212</v>
      </c>
      <c r="B14" s="227"/>
      <c r="C14" s="228"/>
      <c r="D14" s="228"/>
      <c r="E14" s="228">
        <v>200000</v>
      </c>
      <c r="F14" s="228"/>
      <c r="G14" s="228">
        <v>200000</v>
      </c>
      <c r="H14" s="228"/>
      <c r="I14" s="228">
        <v>200000</v>
      </c>
      <c r="J14" s="228"/>
      <c r="K14" s="228">
        <v>200000</v>
      </c>
      <c r="L14" s="228"/>
      <c r="M14" s="228">
        <v>200000</v>
      </c>
      <c r="N14" s="220">
        <f>'bev.össz'!G35</f>
        <v>1000000</v>
      </c>
    </row>
    <row r="15" spans="1:17" ht="15">
      <c r="A15" s="139" t="s">
        <v>415</v>
      </c>
      <c r="B15" s="227">
        <f>'bev.össz'!G41</f>
        <v>222576583</v>
      </c>
      <c r="C15" s="228">
        <f>'bev.össz'!G43/11</f>
        <v>35280169.52363636</v>
      </c>
      <c r="D15" s="228">
        <v>35272756</v>
      </c>
      <c r="E15" s="228">
        <v>35272756</v>
      </c>
      <c r="F15" s="228">
        <v>35272756</v>
      </c>
      <c r="G15" s="228">
        <v>35272756</v>
      </c>
      <c r="H15" s="228">
        <v>35272756</v>
      </c>
      <c r="I15" s="228">
        <v>35272756</v>
      </c>
      <c r="J15" s="228">
        <v>35272756</v>
      </c>
      <c r="K15" s="228">
        <v>35272756</v>
      </c>
      <c r="L15" s="228">
        <v>35272756</v>
      </c>
      <c r="M15" s="228">
        <v>35272756</v>
      </c>
      <c r="N15" s="220">
        <f>'bev.össz'!G44</f>
        <v>610658447.76</v>
      </c>
      <c r="O15" s="235"/>
      <c r="P15" s="61"/>
      <c r="Q15" s="61"/>
    </row>
    <row r="16" spans="1:18" ht="15">
      <c r="A16" s="230" t="s">
        <v>347</v>
      </c>
      <c r="B16" s="231">
        <f>SUM(B8:B15)</f>
        <v>273552855.8481315</v>
      </c>
      <c r="C16" s="231">
        <f>SUM(C8:C15)</f>
        <v>88108442.52363637</v>
      </c>
      <c r="D16" s="231">
        <f>SUM(D8:D15)</f>
        <v>99649029</v>
      </c>
      <c r="E16" s="231">
        <f aca="true" t="shared" si="0" ref="E16:M16">SUM(E8:E15)</f>
        <v>99824029</v>
      </c>
      <c r="F16" s="231">
        <f t="shared" si="0"/>
        <v>84999029</v>
      </c>
      <c r="G16" s="231">
        <f t="shared" si="0"/>
        <v>104027214</v>
      </c>
      <c r="H16" s="231">
        <f t="shared" si="0"/>
        <v>84999029</v>
      </c>
      <c r="I16" s="231">
        <f t="shared" si="0"/>
        <v>85199029</v>
      </c>
      <c r="J16" s="231">
        <f t="shared" si="0"/>
        <v>99624029</v>
      </c>
      <c r="K16" s="231">
        <f t="shared" si="0"/>
        <v>99824029</v>
      </c>
      <c r="L16" s="231">
        <f t="shared" si="0"/>
        <v>96186538</v>
      </c>
      <c r="M16" s="231">
        <f t="shared" si="0"/>
        <v>85199029</v>
      </c>
      <c r="N16" s="220">
        <f>SUM(N8:N15)</f>
        <v>1300091415.9375777</v>
      </c>
      <c r="P16" s="345"/>
      <c r="Q16" s="345"/>
      <c r="R16" s="345"/>
    </row>
    <row r="17" spans="1:14" ht="15">
      <c r="A17" s="607"/>
      <c r="B17" s="607"/>
      <c r="C17" s="607"/>
      <c r="D17" s="607"/>
      <c r="E17" s="607"/>
      <c r="F17" s="607"/>
      <c r="G17" s="607"/>
      <c r="H17" s="607"/>
      <c r="I17" s="607"/>
      <c r="J17" s="607"/>
      <c r="K17" s="607"/>
      <c r="L17" s="607"/>
      <c r="M17" s="607"/>
      <c r="N17" s="607"/>
    </row>
    <row r="18" spans="1:17" ht="15">
      <c r="A18" s="604" t="s">
        <v>348</v>
      </c>
      <c r="B18" s="604"/>
      <c r="C18" s="604"/>
      <c r="D18" s="604"/>
      <c r="E18" s="604"/>
      <c r="F18" s="604"/>
      <c r="G18" s="604"/>
      <c r="H18" s="604"/>
      <c r="I18" s="604"/>
      <c r="J18" s="604"/>
      <c r="K18" s="604"/>
      <c r="L18" s="604"/>
      <c r="M18" s="604"/>
      <c r="N18" s="604"/>
      <c r="Q18" s="235"/>
    </row>
    <row r="19" spans="1:15" ht="15">
      <c r="A19" s="232" t="s">
        <v>349</v>
      </c>
      <c r="B19" s="232">
        <f>N19/12</f>
        <v>60341979.21583333</v>
      </c>
      <c r="C19" s="232">
        <v>61775944</v>
      </c>
      <c r="D19" s="232">
        <v>61775944</v>
      </c>
      <c r="E19" s="232">
        <v>61775944</v>
      </c>
      <c r="F19" s="232">
        <v>61775944</v>
      </c>
      <c r="G19" s="232">
        <v>61775944</v>
      </c>
      <c r="H19" s="232">
        <v>61775944</v>
      </c>
      <c r="I19" s="232">
        <v>61775944</v>
      </c>
      <c r="J19" s="232">
        <v>61775944</v>
      </c>
      <c r="K19" s="232">
        <v>61775944</v>
      </c>
      <c r="L19" s="232">
        <v>61775944</v>
      </c>
      <c r="M19" s="232">
        <v>61775944</v>
      </c>
      <c r="N19" s="220">
        <f>'kiadás össz.'!G19+'kiadás össz.'!G20+'kiadás össz.'!G33+'kiadás össz.'!G36+'kiadás össz.'!G40+'kiadás össz.'!G56</f>
        <v>724103750.5899999</v>
      </c>
      <c r="O19" s="61"/>
    </row>
    <row r="20" spans="1:15" ht="15">
      <c r="A20" s="232" t="s">
        <v>350</v>
      </c>
      <c r="B20" s="232">
        <f>N20/12</f>
        <v>15658816.72059524</v>
      </c>
      <c r="C20" s="232">
        <v>11917211</v>
      </c>
      <c r="D20" s="232">
        <v>11917211</v>
      </c>
      <c r="E20" s="232">
        <v>11917211</v>
      </c>
      <c r="F20" s="232">
        <v>11917211</v>
      </c>
      <c r="G20" s="232">
        <v>11917211</v>
      </c>
      <c r="H20" s="232">
        <v>11917211</v>
      </c>
      <c r="I20" s="232">
        <v>11917211</v>
      </c>
      <c r="J20" s="232">
        <v>11917211</v>
      </c>
      <c r="K20" s="232">
        <v>11917211</v>
      </c>
      <c r="L20" s="232">
        <v>11917211</v>
      </c>
      <c r="M20" s="232">
        <v>11917211</v>
      </c>
      <c r="N20" s="220">
        <f>'kiadás össz.'!G45+'kiadás össz.'!G48+'kiadás össz.'!G50</f>
        <v>187905800.6471429</v>
      </c>
      <c r="O20" s="61"/>
    </row>
    <row r="21" spans="1:14" ht="15">
      <c r="A21" s="232" t="s">
        <v>151</v>
      </c>
      <c r="B21" s="232">
        <f>N21/12</f>
        <v>32340155.396666665</v>
      </c>
      <c r="C21" s="232">
        <v>32333359</v>
      </c>
      <c r="D21" s="232">
        <v>32333359</v>
      </c>
      <c r="E21" s="232">
        <v>32333359</v>
      </c>
      <c r="F21" s="232">
        <v>32333359</v>
      </c>
      <c r="G21" s="232">
        <v>32333359</v>
      </c>
      <c r="H21" s="232">
        <v>32333359</v>
      </c>
      <c r="I21" s="232">
        <v>32333359</v>
      </c>
      <c r="J21" s="232">
        <v>32333359</v>
      </c>
      <c r="K21" s="232">
        <v>32333359</v>
      </c>
      <c r="L21" s="232">
        <v>32333359</v>
      </c>
      <c r="M21" s="232">
        <v>32333359</v>
      </c>
      <c r="N21" s="220">
        <f>'kiadás össz.'!G57</f>
        <v>388081864.76</v>
      </c>
    </row>
    <row r="22" spans="1:15" ht="15">
      <c r="A22" s="230" t="s">
        <v>351</v>
      </c>
      <c r="B22" s="230">
        <f>SUM(B19:B21)</f>
        <v>108340951.33309524</v>
      </c>
      <c r="C22" s="230">
        <f aca="true" t="shared" si="1" ref="C22:M22">SUM(C19:C21)</f>
        <v>106026514</v>
      </c>
      <c r="D22" s="230">
        <f t="shared" si="1"/>
        <v>106026514</v>
      </c>
      <c r="E22" s="230">
        <f t="shared" si="1"/>
        <v>106026514</v>
      </c>
      <c r="F22" s="230">
        <f t="shared" si="1"/>
        <v>106026514</v>
      </c>
      <c r="G22" s="230">
        <f t="shared" si="1"/>
        <v>106026514</v>
      </c>
      <c r="H22" s="230">
        <f t="shared" si="1"/>
        <v>106026514</v>
      </c>
      <c r="I22" s="230">
        <f t="shared" si="1"/>
        <v>106026514</v>
      </c>
      <c r="J22" s="230">
        <f t="shared" si="1"/>
        <v>106026514</v>
      </c>
      <c r="K22" s="230">
        <f t="shared" si="1"/>
        <v>106026514</v>
      </c>
      <c r="L22" s="230">
        <f t="shared" si="1"/>
        <v>106026514</v>
      </c>
      <c r="M22" s="230">
        <f t="shared" si="1"/>
        <v>106026514</v>
      </c>
      <c r="N22" s="220">
        <f>SUM(N19:N21)</f>
        <v>1300091415.9971428</v>
      </c>
      <c r="O22" s="235">
        <f>N16-N22</f>
        <v>-0.059565067291259766</v>
      </c>
    </row>
    <row r="23" spans="1:14" ht="15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4"/>
    </row>
  </sheetData>
  <sheetProtection/>
  <mergeCells count="6">
    <mergeCell ref="A18:N18"/>
    <mergeCell ref="A1:N1"/>
    <mergeCell ref="A3:N3"/>
    <mergeCell ref="A4:N4"/>
    <mergeCell ref="A7:N7"/>
    <mergeCell ref="A17:N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46">
      <selection activeCell="B56" sqref="B56"/>
    </sheetView>
  </sheetViews>
  <sheetFormatPr defaultColWidth="9.140625" defaultRowHeight="15"/>
  <cols>
    <col min="2" max="2" width="38.00390625" style="0" customWidth="1"/>
    <col min="6" max="6" width="9.00390625" style="0" customWidth="1"/>
    <col min="7" max="7" width="15.8515625" style="0" customWidth="1"/>
    <col min="8" max="8" width="12.28125" style="0" bestFit="1" customWidth="1"/>
    <col min="9" max="9" width="10.8515625" style="0" bestFit="1" customWidth="1"/>
    <col min="10" max="10" width="6.28125" style="0" bestFit="1" customWidth="1"/>
    <col min="11" max="11" width="13.140625" style="0" bestFit="1" customWidth="1"/>
    <col min="12" max="12" width="10.8515625" style="0" bestFit="1" customWidth="1"/>
    <col min="14" max="14" width="12.8515625" style="0" bestFit="1" customWidth="1"/>
  </cols>
  <sheetData>
    <row r="1" spans="1:10" ht="15">
      <c r="A1" s="491" t="s">
        <v>387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ht="15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ht="15">
      <c r="A3" s="513" t="s">
        <v>1</v>
      </c>
      <c r="B3" s="513"/>
      <c r="C3" s="513"/>
      <c r="D3" s="513"/>
      <c r="E3" s="513"/>
      <c r="F3" s="513"/>
      <c r="G3" s="513"/>
      <c r="H3" s="513"/>
      <c r="I3" s="3"/>
      <c r="J3" s="3"/>
    </row>
    <row r="4" spans="1:10" ht="15">
      <c r="A4" s="514" t="s">
        <v>432</v>
      </c>
      <c r="B4" s="515"/>
      <c r="C4" s="515"/>
      <c r="D4" s="515"/>
      <c r="E4" s="515"/>
      <c r="F4" s="515"/>
      <c r="G4" s="515"/>
      <c r="H4" s="515"/>
      <c r="I4" s="3"/>
      <c r="J4" s="3"/>
    </row>
    <row r="5" spans="1:10" ht="15">
      <c r="A5" s="495" t="s">
        <v>3</v>
      </c>
      <c r="B5" s="496" t="s">
        <v>4</v>
      </c>
      <c r="C5" s="497" t="s">
        <v>5</v>
      </c>
      <c r="D5" s="497"/>
      <c r="E5" s="497"/>
      <c r="F5" s="497"/>
      <c r="G5" s="498" t="s">
        <v>6</v>
      </c>
      <c r="H5" s="499" t="s">
        <v>7</v>
      </c>
      <c r="I5" s="500"/>
      <c r="J5" s="501"/>
    </row>
    <row r="6" spans="1:10" ht="25.5">
      <c r="A6" s="495"/>
      <c r="B6" s="496"/>
      <c r="C6" s="497"/>
      <c r="D6" s="497"/>
      <c r="E6" s="497"/>
      <c r="F6" s="497"/>
      <c r="G6" s="498"/>
      <c r="H6" s="4" t="s">
        <v>8</v>
      </c>
      <c r="I6" s="4" t="s">
        <v>9</v>
      </c>
      <c r="J6" s="4" t="s">
        <v>10</v>
      </c>
    </row>
    <row r="7" spans="1:12" ht="15">
      <c r="A7" s="5" t="s">
        <v>11</v>
      </c>
      <c r="B7" s="6" t="s">
        <v>12</v>
      </c>
      <c r="C7" s="516" t="s">
        <v>13</v>
      </c>
      <c r="D7" s="516"/>
      <c r="E7" s="516"/>
      <c r="F7" s="516"/>
      <c r="G7" s="8">
        <f>'önkorm. kiad'!G7+'Hiv. kiadás'!G7+'Óvoda kiad.'!G7+'Könyvtár kiad'!G7</f>
        <v>333474537</v>
      </c>
      <c r="H7" s="8">
        <f>G7</f>
        <v>333474537</v>
      </c>
      <c r="I7" s="9"/>
      <c r="J7" s="9"/>
      <c r="L7" s="61"/>
    </row>
    <row r="8" spans="1:12" ht="15">
      <c r="A8" s="5" t="s">
        <v>14</v>
      </c>
      <c r="B8" s="6" t="s">
        <v>15</v>
      </c>
      <c r="C8" s="517" t="s">
        <v>16</v>
      </c>
      <c r="D8" s="518"/>
      <c r="E8" s="518"/>
      <c r="F8" s="519"/>
      <c r="G8" s="8">
        <f>'önkorm. kiad'!G8+'Hiv. kiadás'!G8+'Óvoda kiad.'!G8+'Könyvtár kiad'!G8</f>
        <v>13003000</v>
      </c>
      <c r="H8" s="8">
        <f aca="true" t="shared" si="0" ref="H8:H17">G8</f>
        <v>13003000</v>
      </c>
      <c r="I8" s="9"/>
      <c r="J8" s="9"/>
      <c r="L8" s="61"/>
    </row>
    <row r="9" spans="1:12" ht="25.5">
      <c r="A9" s="5" t="s">
        <v>17</v>
      </c>
      <c r="B9" s="6" t="s">
        <v>18</v>
      </c>
      <c r="C9" s="517" t="s">
        <v>19</v>
      </c>
      <c r="D9" s="518"/>
      <c r="E9" s="518"/>
      <c r="F9" s="519"/>
      <c r="G9" s="8">
        <f>'önkorm. kiad'!G9+'Hiv. kiadás'!G9+'Óvoda kiad.'!G9+'Könyvtár kiad'!G9</f>
        <v>407500</v>
      </c>
      <c r="H9" s="8">
        <f t="shared" si="0"/>
        <v>407500</v>
      </c>
      <c r="I9" s="9"/>
      <c r="J9" s="9"/>
      <c r="L9" s="61"/>
    </row>
    <row r="10" spans="1:12" ht="15">
      <c r="A10" s="5" t="s">
        <v>20</v>
      </c>
      <c r="B10" s="6" t="s">
        <v>21</v>
      </c>
      <c r="C10" s="517" t="s">
        <v>22</v>
      </c>
      <c r="D10" s="518"/>
      <c r="E10" s="518"/>
      <c r="F10" s="519"/>
      <c r="G10" s="8">
        <f>'önkorm. kiad'!G10+'Hiv. kiadás'!G10+'Óvoda kiad.'!G10+'Könyvtár kiad'!G10</f>
        <v>9440358</v>
      </c>
      <c r="H10" s="8">
        <f t="shared" si="0"/>
        <v>9440358</v>
      </c>
      <c r="I10" s="9"/>
      <c r="J10" s="9"/>
      <c r="L10" s="61"/>
    </row>
    <row r="11" spans="1:12" ht="15">
      <c r="A11" s="5" t="s">
        <v>23</v>
      </c>
      <c r="B11" s="10" t="s">
        <v>24</v>
      </c>
      <c r="C11" s="516" t="s">
        <v>25</v>
      </c>
      <c r="D11" s="516"/>
      <c r="E11" s="516"/>
      <c r="F11" s="516"/>
      <c r="G11" s="8">
        <f>'önkorm. kiad'!G11+'Hiv. kiadás'!G11+'Óvoda kiad.'!G11+'Könyvtár kiad'!G11</f>
        <v>8369525</v>
      </c>
      <c r="H11" s="8">
        <f t="shared" si="0"/>
        <v>8369525</v>
      </c>
      <c r="I11" s="9"/>
      <c r="J11" s="9"/>
      <c r="L11" s="61"/>
    </row>
    <row r="12" spans="1:12" ht="15">
      <c r="A12" s="5" t="s">
        <v>26</v>
      </c>
      <c r="B12" s="10" t="s">
        <v>27</v>
      </c>
      <c r="C12" s="517" t="s">
        <v>28</v>
      </c>
      <c r="D12" s="518"/>
      <c r="E12" s="518"/>
      <c r="F12" s="519"/>
      <c r="G12" s="8">
        <f>'önkorm. kiad'!G12+'Hiv. kiadás'!G12+'Óvoda kiad.'!G12+'Könyvtár kiad'!G12</f>
        <v>0</v>
      </c>
      <c r="H12" s="8">
        <f t="shared" si="0"/>
        <v>0</v>
      </c>
      <c r="I12" s="9"/>
      <c r="J12" s="9"/>
      <c r="L12" s="61"/>
    </row>
    <row r="13" spans="1:12" ht="15">
      <c r="A13" s="5" t="s">
        <v>29</v>
      </c>
      <c r="B13" s="10" t="s">
        <v>30</v>
      </c>
      <c r="C13" s="516" t="s">
        <v>31</v>
      </c>
      <c r="D13" s="516"/>
      <c r="E13" s="516"/>
      <c r="F13" s="516"/>
      <c r="G13" s="8">
        <f>'önkorm. kiad'!G13+'Hiv. kiadás'!G13+'Óvoda kiad.'!G13+'Könyvtár kiad'!G13</f>
        <v>2903500</v>
      </c>
      <c r="H13" s="8">
        <f t="shared" si="0"/>
        <v>2903500</v>
      </c>
      <c r="I13" s="9"/>
      <c r="J13" s="9"/>
      <c r="L13" s="61"/>
    </row>
    <row r="14" spans="1:12" ht="15">
      <c r="A14" s="5" t="s">
        <v>32</v>
      </c>
      <c r="B14" s="10" t="s">
        <v>33</v>
      </c>
      <c r="C14" s="517" t="s">
        <v>34</v>
      </c>
      <c r="D14" s="518"/>
      <c r="E14" s="518"/>
      <c r="F14" s="519"/>
      <c r="G14" s="8">
        <f>'önkorm. kiad'!G14+'Hiv. kiadás'!G14+'Óvoda kiad.'!G14+'Könyvtár kiad'!G14</f>
        <v>0</v>
      </c>
      <c r="H14" s="8">
        <f t="shared" si="0"/>
        <v>0</v>
      </c>
      <c r="I14" s="9"/>
      <c r="J14" s="9"/>
      <c r="L14" s="61"/>
    </row>
    <row r="15" spans="1:12" ht="15">
      <c r="A15" s="5" t="s">
        <v>35</v>
      </c>
      <c r="B15" s="10" t="s">
        <v>36</v>
      </c>
      <c r="C15" s="517" t="s">
        <v>37</v>
      </c>
      <c r="D15" s="518"/>
      <c r="E15" s="518"/>
      <c r="F15" s="519"/>
      <c r="G15" s="8">
        <f>'önkorm. kiad'!G15+'Hiv. kiadás'!G15+'Óvoda kiad.'!G15+'Könyvtár kiad'!G15</f>
        <v>1036000</v>
      </c>
      <c r="H15" s="8">
        <f t="shared" si="0"/>
        <v>1036000</v>
      </c>
      <c r="I15" s="9"/>
      <c r="J15" s="9"/>
      <c r="L15" s="61"/>
    </row>
    <row r="16" spans="1:12" ht="15">
      <c r="A16" s="5" t="s">
        <v>38</v>
      </c>
      <c r="B16" s="10" t="s">
        <v>39</v>
      </c>
      <c r="C16" s="516" t="s">
        <v>40</v>
      </c>
      <c r="D16" s="516"/>
      <c r="E16" s="516"/>
      <c r="F16" s="516"/>
      <c r="G16" s="8">
        <f>'önkorm. kiad'!G16+'Hiv. kiadás'!G16+'Óvoda kiad.'!G16+'Könyvtár kiad'!G16</f>
        <v>23378060.5</v>
      </c>
      <c r="H16" s="8">
        <f t="shared" si="0"/>
        <v>23378060.5</v>
      </c>
      <c r="I16" s="9"/>
      <c r="J16" s="9"/>
      <c r="L16" s="61"/>
    </row>
    <row r="17" spans="1:12" ht="25.5">
      <c r="A17" s="5" t="s">
        <v>41</v>
      </c>
      <c r="B17" s="10" t="s">
        <v>42</v>
      </c>
      <c r="C17" s="516" t="s">
        <v>43</v>
      </c>
      <c r="D17" s="516"/>
      <c r="E17" s="516"/>
      <c r="F17" s="516"/>
      <c r="G17" s="8">
        <f>'önkorm. kiad'!G17+'Hiv. kiadás'!G17+'Óvoda kiad.'!G17+'Könyvtár kiad'!G17</f>
        <v>5473500</v>
      </c>
      <c r="H17" s="8">
        <f t="shared" si="0"/>
        <v>5473500</v>
      </c>
      <c r="I17" s="12"/>
      <c r="J17" s="12"/>
      <c r="L17" s="61"/>
    </row>
    <row r="18" spans="1:12" ht="15">
      <c r="A18" s="5" t="s">
        <v>44</v>
      </c>
      <c r="B18" s="10" t="s">
        <v>45</v>
      </c>
      <c r="C18" s="502" t="s">
        <v>46</v>
      </c>
      <c r="D18" s="502"/>
      <c r="E18" s="502"/>
      <c r="F18" s="502"/>
      <c r="G18" s="8">
        <f>'önkorm. kiad'!G18+'Hiv. kiadás'!G18+'Óvoda kiad.'!G18+'Könyvtár kiad'!G18</f>
        <v>460000</v>
      </c>
      <c r="H18" s="8">
        <f>G18</f>
        <v>460000</v>
      </c>
      <c r="I18" s="9"/>
      <c r="J18" s="9"/>
      <c r="L18" s="61"/>
    </row>
    <row r="19" spans="1:12" ht="15">
      <c r="A19" s="13" t="s">
        <v>47</v>
      </c>
      <c r="B19" s="14" t="s">
        <v>48</v>
      </c>
      <c r="C19" s="506" t="s">
        <v>49</v>
      </c>
      <c r="D19" s="506"/>
      <c r="E19" s="506"/>
      <c r="F19" s="506"/>
      <c r="G19" s="15">
        <f>SUM(G7:G18)</f>
        <v>397945980.5</v>
      </c>
      <c r="H19" s="15">
        <f>SUM(H7:H18)</f>
        <v>397945980.5</v>
      </c>
      <c r="I19" s="16"/>
      <c r="J19" s="17"/>
      <c r="L19" s="61"/>
    </row>
    <row r="20" spans="1:12" ht="25.5">
      <c r="A20" s="13" t="s">
        <v>50</v>
      </c>
      <c r="B20" s="14" t="s">
        <v>51</v>
      </c>
      <c r="C20" s="506" t="s">
        <v>52</v>
      </c>
      <c r="D20" s="506"/>
      <c r="E20" s="506"/>
      <c r="F20" s="506"/>
      <c r="G20" s="18">
        <f>'önkorm. kiad'!G20+'Hiv. kiadás'!G20+'Óvoda kiad.'!G20+'Könyvtár kiad'!G20</f>
        <v>51246275.89000001</v>
      </c>
      <c r="H20" s="18">
        <f>G20</f>
        <v>51246275.89000001</v>
      </c>
      <c r="I20" s="17"/>
      <c r="J20" s="17"/>
      <c r="L20" s="61"/>
    </row>
    <row r="21" spans="1:12" ht="15">
      <c r="A21" s="5" t="s">
        <v>53</v>
      </c>
      <c r="B21" s="10" t="s">
        <v>54</v>
      </c>
      <c r="C21" s="502" t="s">
        <v>55</v>
      </c>
      <c r="D21" s="502"/>
      <c r="E21" s="502"/>
      <c r="F21" s="502"/>
      <c r="G21" s="8">
        <f>'önkorm. kiad'!G21+'Hiv. kiadás'!G21+'Könyvtár kiad'!G21+'Óvoda kiad.'!G21</f>
        <v>2270000</v>
      </c>
      <c r="H21" s="8">
        <f>G21</f>
        <v>2270000</v>
      </c>
      <c r="I21" s="9"/>
      <c r="J21" s="9"/>
      <c r="L21" s="61"/>
    </row>
    <row r="22" spans="1:12" ht="15">
      <c r="A22" s="5" t="s">
        <v>56</v>
      </c>
      <c r="B22" s="10" t="s">
        <v>57</v>
      </c>
      <c r="C22" s="503" t="s">
        <v>58</v>
      </c>
      <c r="D22" s="507"/>
      <c r="E22" s="507"/>
      <c r="F22" s="508"/>
      <c r="G22" s="8">
        <f>'önkorm. kiad'!G22+'Hiv. kiadás'!G22+'Könyvtár kiad'!G22+'Óvoda kiad.'!G22</f>
        <v>76216929.13385826</v>
      </c>
      <c r="H22" s="8">
        <f aca="true" t="shared" si="1" ref="H22:H32">G22</f>
        <v>76216929.13385826</v>
      </c>
      <c r="I22" s="9"/>
      <c r="J22" s="9"/>
      <c r="L22" s="61"/>
    </row>
    <row r="23" spans="1:12" ht="15">
      <c r="A23" s="5" t="s">
        <v>59</v>
      </c>
      <c r="B23" s="10" t="s">
        <v>60</v>
      </c>
      <c r="C23" s="502" t="s">
        <v>61</v>
      </c>
      <c r="D23" s="502"/>
      <c r="E23" s="502"/>
      <c r="F23" s="502"/>
      <c r="G23" s="8">
        <f>'önkorm. kiad'!G23+'Hiv. kiadás'!G23+'Könyvtár kiad'!G23+'Óvoda kiad.'!G23</f>
        <v>1988500</v>
      </c>
      <c r="H23" s="8">
        <f t="shared" si="1"/>
        <v>1988500</v>
      </c>
      <c r="I23" s="9"/>
      <c r="J23" s="9"/>
      <c r="L23" s="61"/>
    </row>
    <row r="24" spans="1:12" ht="15">
      <c r="A24" s="5" t="s">
        <v>62</v>
      </c>
      <c r="B24" s="10" t="s">
        <v>63</v>
      </c>
      <c r="C24" s="502" t="s">
        <v>64</v>
      </c>
      <c r="D24" s="502"/>
      <c r="E24" s="502"/>
      <c r="F24" s="502"/>
      <c r="G24" s="8">
        <f>'önkorm. kiad'!G24+'Hiv. kiadás'!G24+'Könyvtár kiad'!G24+'Óvoda kiad.'!G24</f>
        <v>1976000</v>
      </c>
      <c r="H24" s="8">
        <f t="shared" si="1"/>
        <v>1976000</v>
      </c>
      <c r="I24" s="9"/>
      <c r="J24" s="9"/>
      <c r="L24" s="61"/>
    </row>
    <row r="25" spans="1:12" ht="15">
      <c r="A25" s="5" t="s">
        <v>65</v>
      </c>
      <c r="B25" s="19" t="s">
        <v>66</v>
      </c>
      <c r="C25" s="502" t="s">
        <v>67</v>
      </c>
      <c r="D25" s="502"/>
      <c r="E25" s="502"/>
      <c r="F25" s="502"/>
      <c r="G25" s="8">
        <f>'önkorm. kiad'!G25+'Hiv. kiadás'!G25+'Könyvtár kiad'!G25+'Óvoda kiad.'!G25</f>
        <v>29100000</v>
      </c>
      <c r="H25" s="8">
        <f t="shared" si="1"/>
        <v>29100000</v>
      </c>
      <c r="I25" s="9"/>
      <c r="J25" s="9"/>
      <c r="L25" s="61"/>
    </row>
    <row r="26" spans="1:12" ht="15">
      <c r="A26" s="5" t="s">
        <v>68</v>
      </c>
      <c r="B26" s="19" t="s">
        <v>69</v>
      </c>
      <c r="C26" s="502" t="s">
        <v>70</v>
      </c>
      <c r="D26" s="502"/>
      <c r="E26" s="502"/>
      <c r="F26" s="502"/>
      <c r="G26" s="8">
        <f>'önkorm. kiad'!G26+'Hiv. kiadás'!G26+'Könyvtár kiad'!G26+'Óvoda kiad.'!G26</f>
        <v>1900000</v>
      </c>
      <c r="H26" s="8">
        <f t="shared" si="1"/>
        <v>1900000</v>
      </c>
      <c r="I26" s="9"/>
      <c r="J26" s="9"/>
      <c r="L26" s="61"/>
    </row>
    <row r="27" spans="1:12" ht="15">
      <c r="A27" s="5" t="s">
        <v>71</v>
      </c>
      <c r="B27" s="19" t="s">
        <v>72</v>
      </c>
      <c r="C27" s="503" t="s">
        <v>73</v>
      </c>
      <c r="D27" s="507"/>
      <c r="E27" s="507"/>
      <c r="F27" s="508"/>
      <c r="G27" s="8">
        <f>'önkorm. kiad'!G27+'Hiv. kiadás'!G27+'Könyvtár kiad'!G27+'Óvoda kiad.'!G27</f>
        <v>1200000</v>
      </c>
      <c r="H27" s="8">
        <f t="shared" si="1"/>
        <v>1200000</v>
      </c>
      <c r="I27" s="9"/>
      <c r="J27" s="9"/>
      <c r="L27" s="61"/>
    </row>
    <row r="28" spans="1:12" ht="15">
      <c r="A28" s="5" t="s">
        <v>74</v>
      </c>
      <c r="B28" s="19" t="s">
        <v>75</v>
      </c>
      <c r="C28" s="502" t="s">
        <v>76</v>
      </c>
      <c r="D28" s="502"/>
      <c r="E28" s="502"/>
      <c r="F28" s="502"/>
      <c r="G28" s="8">
        <f>'önkorm. kiad'!G28+'Hiv. kiadás'!G28+'Könyvtár kiad'!G28+'Óvoda kiad.'!G28</f>
        <v>20975000</v>
      </c>
      <c r="H28" s="8">
        <f t="shared" si="1"/>
        <v>20975000</v>
      </c>
      <c r="I28" s="9"/>
      <c r="J28" s="9"/>
      <c r="L28" s="61"/>
    </row>
    <row r="29" spans="1:12" ht="15">
      <c r="A29" s="5" t="s">
        <v>77</v>
      </c>
      <c r="B29" s="19" t="s">
        <v>78</v>
      </c>
      <c r="C29" s="502" t="s">
        <v>79</v>
      </c>
      <c r="D29" s="502"/>
      <c r="E29" s="502"/>
      <c r="F29" s="502"/>
      <c r="G29" s="8">
        <f>'önkorm. kiad'!G29+'Hiv. kiadás'!G29+'Könyvtár kiad'!G29+'Óvoda kiad.'!G29</f>
        <v>29730248</v>
      </c>
      <c r="H29" s="8">
        <f t="shared" si="1"/>
        <v>29730248</v>
      </c>
      <c r="I29" s="9"/>
      <c r="J29" s="9"/>
      <c r="L29" s="61"/>
    </row>
    <row r="30" spans="1:12" ht="15">
      <c r="A30" s="5" t="s">
        <v>80</v>
      </c>
      <c r="B30" s="19" t="s">
        <v>81</v>
      </c>
      <c r="C30" s="503" t="s">
        <v>82</v>
      </c>
      <c r="D30" s="507"/>
      <c r="E30" s="507"/>
      <c r="F30" s="508"/>
      <c r="G30" s="8">
        <f>'önkorm. kiad'!G30+'Hiv. kiadás'!G30+'Könyvtár kiad'!G30+'Óvoda kiad.'!G30</f>
        <v>270000</v>
      </c>
      <c r="H30" s="8">
        <f t="shared" si="1"/>
        <v>270000</v>
      </c>
      <c r="I30" s="9"/>
      <c r="J30" s="9"/>
      <c r="L30" s="61"/>
    </row>
    <row r="31" spans="1:12" ht="25.5">
      <c r="A31" s="5" t="s">
        <v>83</v>
      </c>
      <c r="B31" s="19" t="s">
        <v>84</v>
      </c>
      <c r="C31" s="502" t="s">
        <v>85</v>
      </c>
      <c r="D31" s="502"/>
      <c r="E31" s="502"/>
      <c r="F31" s="502"/>
      <c r="G31" s="8">
        <f>'önkorm. kiad'!G31+'Hiv. kiadás'!G31+'Könyvtár kiad'!G31+'Óvoda kiad.'!G31</f>
        <v>31689978.066141732</v>
      </c>
      <c r="H31" s="8">
        <f t="shared" si="1"/>
        <v>31689978.066141732</v>
      </c>
      <c r="I31" s="9"/>
      <c r="J31" s="9"/>
      <c r="L31" s="61"/>
    </row>
    <row r="32" spans="1:12" ht="15">
      <c r="A32" s="5" t="s">
        <v>86</v>
      </c>
      <c r="B32" s="21" t="s">
        <v>87</v>
      </c>
      <c r="C32" s="502" t="s">
        <v>88</v>
      </c>
      <c r="D32" s="502"/>
      <c r="E32" s="502"/>
      <c r="F32" s="502"/>
      <c r="G32" s="8">
        <f>'önkorm. kiad'!G32+'Hiv. kiadás'!G32+'Könyvtár kiad'!G32+'Óvoda kiad.'!G32</f>
        <v>2027000</v>
      </c>
      <c r="H32" s="8">
        <f t="shared" si="1"/>
        <v>2027000</v>
      </c>
      <c r="I32" s="9"/>
      <c r="J32" s="9"/>
      <c r="L32" s="61"/>
    </row>
    <row r="33" spans="1:12" ht="15">
      <c r="A33" s="13" t="s">
        <v>89</v>
      </c>
      <c r="B33" s="14" t="s">
        <v>90</v>
      </c>
      <c r="C33" s="506" t="s">
        <v>91</v>
      </c>
      <c r="D33" s="506"/>
      <c r="E33" s="506"/>
      <c r="F33" s="506"/>
      <c r="G33" s="18">
        <f>SUM(G21:G32)</f>
        <v>199343655.2</v>
      </c>
      <c r="H33" s="18">
        <f>SUM(H21:H32)</f>
        <v>199343655.2</v>
      </c>
      <c r="I33" s="18">
        <f>SUM(I21:I32)</f>
        <v>0</v>
      </c>
      <c r="J33" s="18">
        <f>SUM(J21:J32)</f>
        <v>0</v>
      </c>
      <c r="L33" s="61"/>
    </row>
    <row r="34" spans="1:12" ht="15">
      <c r="A34" s="5" t="s">
        <v>92</v>
      </c>
      <c r="B34" s="10" t="s">
        <v>93</v>
      </c>
      <c r="C34" s="503" t="s">
        <v>94</v>
      </c>
      <c r="D34" s="507"/>
      <c r="E34" s="507"/>
      <c r="F34" s="508"/>
      <c r="G34" s="11">
        <f>'önkorm. kiad'!G34+'Hiv. kiadás'!G34+'Óvoda kiad.'!G34+'Könyvtár kiad'!G34</f>
        <v>0</v>
      </c>
      <c r="H34" s="11"/>
      <c r="I34" s="9"/>
      <c r="J34" s="9"/>
      <c r="L34" s="61"/>
    </row>
    <row r="35" spans="1:12" ht="22.5" customHeight="1">
      <c r="A35" s="5" t="s">
        <v>95</v>
      </c>
      <c r="B35" s="10" t="s">
        <v>96</v>
      </c>
      <c r="C35" s="503" t="s">
        <v>97</v>
      </c>
      <c r="D35" s="507"/>
      <c r="E35" s="507"/>
      <c r="F35" s="508"/>
      <c r="G35" s="11">
        <f>'önkorm. kiad'!G35+'Hiv. kiadás'!G35+'Óvoda kiad.'!G35+'Könyvtár kiad'!G35</f>
        <v>12000000</v>
      </c>
      <c r="H35" s="11">
        <f>G35</f>
        <v>12000000</v>
      </c>
      <c r="I35" s="9"/>
      <c r="J35" s="9"/>
      <c r="L35" s="61"/>
    </row>
    <row r="36" spans="1:12" ht="15">
      <c r="A36" s="13" t="s">
        <v>98</v>
      </c>
      <c r="B36" s="14" t="s">
        <v>99</v>
      </c>
      <c r="C36" s="509" t="s">
        <v>100</v>
      </c>
      <c r="D36" s="510"/>
      <c r="E36" s="510"/>
      <c r="F36" s="511"/>
      <c r="G36" s="18">
        <f>SUM(G34:G35)</f>
        <v>12000000</v>
      </c>
      <c r="H36" s="18">
        <f>SUM(H35)</f>
        <v>12000000</v>
      </c>
      <c r="I36" s="18">
        <f>SUM(I35)</f>
        <v>0</v>
      </c>
      <c r="J36" s="18">
        <f>SUM(J35)</f>
        <v>0</v>
      </c>
      <c r="L36" s="61"/>
    </row>
    <row r="37" spans="1:12" ht="25.5">
      <c r="A37" s="5" t="s">
        <v>101</v>
      </c>
      <c r="B37" s="10" t="s">
        <v>102</v>
      </c>
      <c r="C37" s="503" t="s">
        <v>103</v>
      </c>
      <c r="D37" s="507"/>
      <c r="E37" s="507"/>
      <c r="F37" s="508"/>
      <c r="G37" s="11">
        <f>'önkorm. kiad'!G37</f>
        <v>1650000</v>
      </c>
      <c r="H37" s="11">
        <v>0</v>
      </c>
      <c r="I37" s="11">
        <f aca="true" t="shared" si="2" ref="I37:I44">G37</f>
        <v>1650000</v>
      </c>
      <c r="J37" s="9"/>
      <c r="L37" s="61"/>
    </row>
    <row r="38" spans="1:12" ht="25.5">
      <c r="A38" s="5" t="s">
        <v>104</v>
      </c>
      <c r="B38" s="10" t="s">
        <v>105</v>
      </c>
      <c r="C38" s="503" t="s">
        <v>106</v>
      </c>
      <c r="D38" s="507"/>
      <c r="E38" s="507"/>
      <c r="F38" s="508"/>
      <c r="G38" s="11">
        <f>'önkorm. kiad'!G38</f>
        <v>26000000</v>
      </c>
      <c r="H38" s="11">
        <v>0</v>
      </c>
      <c r="I38" s="11">
        <f t="shared" si="2"/>
        <v>26000000</v>
      </c>
      <c r="J38" s="9"/>
      <c r="L38" s="61"/>
    </row>
    <row r="39" spans="1:12" ht="15">
      <c r="A39" s="5" t="s">
        <v>107</v>
      </c>
      <c r="B39" s="10" t="s">
        <v>108</v>
      </c>
      <c r="C39" s="503" t="s">
        <v>109</v>
      </c>
      <c r="D39" s="507"/>
      <c r="E39" s="507"/>
      <c r="F39" s="508"/>
      <c r="G39" s="11">
        <f>'önkorm. kiad'!G39</f>
        <v>18820848</v>
      </c>
      <c r="H39" s="11">
        <v>0</v>
      </c>
      <c r="I39" s="11">
        <f t="shared" si="2"/>
        <v>18820848</v>
      </c>
      <c r="J39" s="9"/>
      <c r="L39" s="61"/>
    </row>
    <row r="40" spans="1:12" ht="15">
      <c r="A40" s="13" t="s">
        <v>110</v>
      </c>
      <c r="B40" s="24" t="s">
        <v>111</v>
      </c>
      <c r="C40" s="509" t="s">
        <v>112</v>
      </c>
      <c r="D40" s="510"/>
      <c r="E40" s="510"/>
      <c r="F40" s="511"/>
      <c r="G40" s="18">
        <f>SUM(G37:G39)</f>
        <v>46470848</v>
      </c>
      <c r="H40" s="18"/>
      <c r="I40" s="18">
        <f t="shared" si="2"/>
        <v>46470848</v>
      </c>
      <c r="J40" s="18"/>
      <c r="L40" s="61"/>
    </row>
    <row r="41" spans="1:14" ht="15">
      <c r="A41" s="5" t="s">
        <v>113</v>
      </c>
      <c r="B41" s="25" t="s">
        <v>114</v>
      </c>
      <c r="C41" s="503" t="s">
        <v>115</v>
      </c>
      <c r="D41" s="507"/>
      <c r="E41" s="507"/>
      <c r="F41" s="508"/>
      <c r="G41" s="11">
        <f>'önkorm. kiad'!G41+'Hiv. kiadás'!G41+'Könyvtár kiad'!G41</f>
        <v>70670636</v>
      </c>
      <c r="H41" s="47"/>
      <c r="I41" s="11">
        <f>G41</f>
        <v>70670636</v>
      </c>
      <c r="J41" s="47"/>
      <c r="L41" s="61"/>
      <c r="M41" s="2"/>
      <c r="N41" s="261"/>
    </row>
    <row r="42" spans="1:14" ht="15">
      <c r="A42" s="5" t="s">
        <v>116</v>
      </c>
      <c r="B42" s="25" t="s">
        <v>235</v>
      </c>
      <c r="C42" s="520" t="s">
        <v>236</v>
      </c>
      <c r="D42" s="521"/>
      <c r="E42" s="521"/>
      <c r="F42" s="522"/>
      <c r="G42" s="11">
        <f>'önkorm. kiad'!G42+'Hiv. kiadás'!G42+'Óvoda kiad.'!G41+'Könyvtár kiad'!G42</f>
        <v>1322834.6456692913</v>
      </c>
      <c r="H42" s="26">
        <v>0</v>
      </c>
      <c r="I42" s="27">
        <f t="shared" si="2"/>
        <v>1322834.6456692913</v>
      </c>
      <c r="J42" s="9"/>
      <c r="L42" s="61"/>
      <c r="M42" s="240"/>
      <c r="N42" s="308"/>
    </row>
    <row r="43" spans="1:14" ht="15">
      <c r="A43" s="5" t="s">
        <v>119</v>
      </c>
      <c r="B43" s="10" t="s">
        <v>117</v>
      </c>
      <c r="C43" s="503" t="s">
        <v>118</v>
      </c>
      <c r="D43" s="507"/>
      <c r="E43" s="507"/>
      <c r="F43" s="508"/>
      <c r="G43" s="11">
        <f>'önkorm. kiad'!G43+'Hiv. kiadás'!G43+'Óvoda kiad.'!G42+'Könyvtár kiad'!G43</f>
        <v>28298202.913385827</v>
      </c>
      <c r="H43" s="11">
        <v>0</v>
      </c>
      <c r="I43" s="27">
        <f t="shared" si="2"/>
        <v>28298202.913385827</v>
      </c>
      <c r="J43" s="9"/>
      <c r="L43" s="61"/>
      <c r="M43" s="240"/>
      <c r="N43" s="308"/>
    </row>
    <row r="44" spans="1:14" ht="25.5">
      <c r="A44" s="5" t="s">
        <v>122</v>
      </c>
      <c r="B44" s="10" t="s">
        <v>120</v>
      </c>
      <c r="C44" s="503" t="s">
        <v>121</v>
      </c>
      <c r="D44" s="507"/>
      <c r="E44" s="507"/>
      <c r="F44" s="508"/>
      <c r="G44" s="11">
        <f>'önkorm. kiad'!G44+'Hiv. kiadás'!G44+'Óvoda kiad.'!G43+'Könyvtár kiad'!G44</f>
        <v>50192573.86094488</v>
      </c>
      <c r="H44" s="11">
        <v>0</v>
      </c>
      <c r="I44" s="27">
        <f t="shared" si="2"/>
        <v>50192573.86094488</v>
      </c>
      <c r="J44" s="9"/>
      <c r="L44" s="61"/>
      <c r="M44" s="240"/>
      <c r="N44" s="309"/>
    </row>
    <row r="45" spans="1:14" ht="15">
      <c r="A45" s="71" t="s">
        <v>125</v>
      </c>
      <c r="B45" s="14" t="s">
        <v>123</v>
      </c>
      <c r="C45" s="509" t="s">
        <v>124</v>
      </c>
      <c r="D45" s="510"/>
      <c r="E45" s="510"/>
      <c r="F45" s="511"/>
      <c r="G45" s="18">
        <f>SUM(G41:G44)</f>
        <v>150484247.42000002</v>
      </c>
      <c r="H45" s="18">
        <f>SUM(H42:H44)</f>
        <v>0</v>
      </c>
      <c r="I45" s="18">
        <f>SUM(I41:I44)</f>
        <v>150484247.42000002</v>
      </c>
      <c r="J45" s="18"/>
      <c r="L45" s="61"/>
      <c r="M45" s="240"/>
      <c r="N45" s="308"/>
    </row>
    <row r="46" spans="1:14" ht="15">
      <c r="A46" s="5" t="s">
        <v>128</v>
      </c>
      <c r="B46" s="10" t="s">
        <v>126</v>
      </c>
      <c r="C46" s="503" t="s">
        <v>127</v>
      </c>
      <c r="D46" s="507"/>
      <c r="E46" s="507"/>
      <c r="F46" s="508"/>
      <c r="G46" s="11">
        <f>'önkorm. kiad'!G46+'Hiv. kiadás'!G46+'Óvoda kiad.'!G46+'Könyvtár kiad'!G46</f>
        <v>25439766.320584927</v>
      </c>
      <c r="H46" s="11"/>
      <c r="I46" s="27">
        <f>G46</f>
        <v>25439766.320584927</v>
      </c>
      <c r="J46" s="9"/>
      <c r="L46" s="61"/>
      <c r="M46" s="240"/>
      <c r="N46" s="308"/>
    </row>
    <row r="47" spans="1:12" ht="25.5">
      <c r="A47" s="5" t="s">
        <v>131</v>
      </c>
      <c r="B47" s="10" t="s">
        <v>129</v>
      </c>
      <c r="C47" s="503" t="s">
        <v>130</v>
      </c>
      <c r="D47" s="507"/>
      <c r="E47" s="507"/>
      <c r="F47" s="508"/>
      <c r="G47" s="11">
        <f>'önkorm. kiad'!G47+'Hiv. kiadás'!G47+'Óvoda kiad.'!G47+'Könyvtár kiad'!G47</f>
        <v>5981786.906557931</v>
      </c>
      <c r="H47" s="11"/>
      <c r="I47" s="27">
        <f>G47</f>
        <v>5981786.906557931</v>
      </c>
      <c r="J47" s="9"/>
      <c r="L47" s="61"/>
    </row>
    <row r="48" spans="1:12" ht="15">
      <c r="A48" s="71" t="s">
        <v>134</v>
      </c>
      <c r="B48" s="14" t="s">
        <v>132</v>
      </c>
      <c r="C48" s="509" t="s">
        <v>133</v>
      </c>
      <c r="D48" s="510"/>
      <c r="E48" s="510"/>
      <c r="F48" s="511"/>
      <c r="G48" s="70">
        <f>G46+G47</f>
        <v>31421553.227142856</v>
      </c>
      <c r="H48" s="18">
        <f>SUM(H46:H47)</f>
        <v>0</v>
      </c>
      <c r="I48" s="18">
        <f>SUM(I46:I47)</f>
        <v>31421553.227142856</v>
      </c>
      <c r="J48" s="18">
        <f>SUM(J46:J47)</f>
        <v>0</v>
      </c>
      <c r="L48" s="61"/>
    </row>
    <row r="49" spans="1:12" ht="38.25">
      <c r="A49" s="5" t="s">
        <v>137</v>
      </c>
      <c r="B49" s="10" t="s">
        <v>135</v>
      </c>
      <c r="C49" s="503" t="s">
        <v>136</v>
      </c>
      <c r="D49" s="507"/>
      <c r="E49" s="507"/>
      <c r="F49" s="508"/>
      <c r="G49" s="11">
        <f>'[1]Támogatás'!$D$52</f>
        <v>6000000</v>
      </c>
      <c r="H49" s="11">
        <f>G49</f>
        <v>6000000</v>
      </c>
      <c r="I49" s="9"/>
      <c r="J49" s="9"/>
      <c r="L49" s="61"/>
    </row>
    <row r="50" spans="1:12" ht="15">
      <c r="A50" s="71" t="s">
        <v>140</v>
      </c>
      <c r="B50" s="14" t="s">
        <v>138</v>
      </c>
      <c r="C50" s="509" t="s">
        <v>139</v>
      </c>
      <c r="D50" s="510"/>
      <c r="E50" s="510"/>
      <c r="F50" s="511"/>
      <c r="G50" s="18">
        <f>SUM(G49)</f>
        <v>6000000</v>
      </c>
      <c r="H50" s="18">
        <f>SUM(H49)</f>
        <v>6000000</v>
      </c>
      <c r="I50" s="18">
        <f>SUM(I49)</f>
        <v>0</v>
      </c>
      <c r="J50" s="18">
        <f>SUM(J49)</f>
        <v>0</v>
      </c>
      <c r="L50" s="61"/>
    </row>
    <row r="51" spans="1:12" ht="15">
      <c r="A51" s="71" t="s">
        <v>147</v>
      </c>
      <c r="B51" s="28" t="s">
        <v>141</v>
      </c>
      <c r="C51" s="506" t="s">
        <v>142</v>
      </c>
      <c r="D51" s="506"/>
      <c r="E51" s="506"/>
      <c r="F51" s="506"/>
      <c r="G51" s="18">
        <f>G19+G20+G33+G36+G40+G45+G48+G50</f>
        <v>894912560.2371428</v>
      </c>
      <c r="H51" s="18">
        <f>H19+H20+H33+H36+H40+H45+H48+H50</f>
        <v>666535911.5899999</v>
      </c>
      <c r="I51" s="18">
        <f>I19+I20+I33+I36+I40+I45+I48+I50</f>
        <v>228376648.6471429</v>
      </c>
      <c r="J51" s="18">
        <f>J19+J20+J33+J36+J40+J45+J48+J50</f>
        <v>0</v>
      </c>
      <c r="L51" s="61"/>
    </row>
    <row r="52" spans="1:10" ht="15">
      <c r="A52" s="29"/>
      <c r="B52" s="2"/>
      <c r="C52" s="2"/>
      <c r="D52" s="2"/>
      <c r="E52" s="2"/>
      <c r="F52" s="2"/>
      <c r="G52" s="30"/>
      <c r="H52" s="30"/>
      <c r="I52" s="2"/>
      <c r="J52" s="2"/>
    </row>
    <row r="53" spans="1:10" ht="15">
      <c r="A53" s="523" t="s">
        <v>143</v>
      </c>
      <c r="B53" s="523"/>
      <c r="C53" s="523"/>
      <c r="D53" s="523"/>
      <c r="E53" s="523"/>
      <c r="F53" s="523"/>
      <c r="G53" s="523"/>
      <c r="H53" s="523"/>
      <c r="I53" s="31"/>
      <c r="J53" s="31"/>
    </row>
    <row r="54" spans="1:12" ht="15">
      <c r="A54" s="495" t="s">
        <v>3</v>
      </c>
      <c r="B54" s="496" t="s">
        <v>4</v>
      </c>
      <c r="C54" s="497" t="s">
        <v>5</v>
      </c>
      <c r="D54" s="497"/>
      <c r="E54" s="497"/>
      <c r="F54" s="497"/>
      <c r="G54" s="498" t="s">
        <v>144</v>
      </c>
      <c r="H54" s="32"/>
      <c r="I54" s="3"/>
      <c r="J54" s="3"/>
      <c r="L54" s="61"/>
    </row>
    <row r="55" spans="1:10" ht="15">
      <c r="A55" s="495"/>
      <c r="B55" s="496"/>
      <c r="C55" s="497"/>
      <c r="D55" s="497"/>
      <c r="E55" s="497"/>
      <c r="F55" s="497"/>
      <c r="G55" s="498"/>
      <c r="H55" s="33"/>
      <c r="I55" s="2"/>
      <c r="J55" s="2"/>
    </row>
    <row r="56" spans="1:11" ht="25.5">
      <c r="A56" s="5" t="s">
        <v>140</v>
      </c>
      <c r="B56" s="19" t="s">
        <v>145</v>
      </c>
      <c r="C56" s="502" t="s">
        <v>146</v>
      </c>
      <c r="D56" s="502"/>
      <c r="E56" s="502"/>
      <c r="F56" s="502"/>
      <c r="G56" s="8">
        <v>17096991</v>
      </c>
      <c r="H56" s="8">
        <v>17096991</v>
      </c>
      <c r="I56" s="34"/>
      <c r="J56" s="34"/>
      <c r="K56" s="61"/>
    </row>
    <row r="57" spans="1:10" ht="25.5">
      <c r="A57" s="5" t="s">
        <v>147</v>
      </c>
      <c r="B57" s="19" t="s">
        <v>148</v>
      </c>
      <c r="C57" s="502" t="s">
        <v>149</v>
      </c>
      <c r="D57" s="502"/>
      <c r="E57" s="502"/>
      <c r="F57" s="502"/>
      <c r="G57" s="8">
        <f>'Hivatal bevétel'!G43+'Óvoda bev.'!G43+'Könyvtár bev.'!G43</f>
        <v>388081864.76</v>
      </c>
      <c r="H57" s="8">
        <f>G57</f>
        <v>388081864.76</v>
      </c>
      <c r="I57" s="35"/>
      <c r="J57" s="34"/>
    </row>
    <row r="58" spans="1:11" ht="15">
      <c r="A58" s="13" t="s">
        <v>150</v>
      </c>
      <c r="B58" s="28" t="s">
        <v>151</v>
      </c>
      <c r="C58" s="506" t="s">
        <v>152</v>
      </c>
      <c r="D58" s="506"/>
      <c r="E58" s="506"/>
      <c r="F58" s="506"/>
      <c r="G58" s="18">
        <f>SUM(G56:G57)</f>
        <v>405178855.76</v>
      </c>
      <c r="H58" s="18">
        <f>SUM(H56:H57)</f>
        <v>405178855.76</v>
      </c>
      <c r="I58" s="34"/>
      <c r="J58" s="34"/>
      <c r="K58" s="61"/>
    </row>
    <row r="59" spans="1:10" ht="15">
      <c r="A59" s="36"/>
      <c r="B59" s="2"/>
      <c r="C59" s="2"/>
      <c r="D59" s="2"/>
      <c r="E59" s="2"/>
      <c r="F59" s="2"/>
      <c r="G59" s="30"/>
      <c r="H59" s="30"/>
      <c r="I59" s="2"/>
      <c r="J59" s="2"/>
    </row>
    <row r="60" spans="1:10" ht="15">
      <c r="A60" s="37"/>
      <c r="B60" s="38" t="s">
        <v>153</v>
      </c>
      <c r="C60" s="510"/>
      <c r="D60" s="510"/>
      <c r="E60" s="510"/>
      <c r="F60" s="510"/>
      <c r="G60" s="39">
        <f>G51+G58</f>
        <v>1300091415.9971428</v>
      </c>
      <c r="H60" s="39"/>
      <c r="I60" s="2"/>
      <c r="J60" s="2"/>
    </row>
  </sheetData>
  <sheetProtection/>
  <mergeCells count="62">
    <mergeCell ref="C56:F56"/>
    <mergeCell ref="C57:F57"/>
    <mergeCell ref="C58:F58"/>
    <mergeCell ref="C60:F60"/>
    <mergeCell ref="C50:F50"/>
    <mergeCell ref="C51:F51"/>
    <mergeCell ref="A53:H53"/>
    <mergeCell ref="A54:A55"/>
    <mergeCell ref="B54:B55"/>
    <mergeCell ref="C54:F55"/>
    <mergeCell ref="G54:G55"/>
    <mergeCell ref="C44:F44"/>
    <mergeCell ref="C45:F45"/>
    <mergeCell ref="C46:F46"/>
    <mergeCell ref="C47:F47"/>
    <mergeCell ref="C48:F48"/>
    <mergeCell ref="C49:F49"/>
    <mergeCell ref="C37:F37"/>
    <mergeCell ref="C38:F38"/>
    <mergeCell ref="C39:F39"/>
    <mergeCell ref="C40:F40"/>
    <mergeCell ref="C42:F42"/>
    <mergeCell ref="C43:F43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C19:F19"/>
    <mergeCell ref="C20:F20"/>
    <mergeCell ref="C21:F21"/>
    <mergeCell ref="C22:F22"/>
    <mergeCell ref="C23:F23"/>
    <mergeCell ref="C24:F24"/>
    <mergeCell ref="C13:F13"/>
    <mergeCell ref="C14:F14"/>
    <mergeCell ref="C15:F15"/>
    <mergeCell ref="C16:F16"/>
    <mergeCell ref="C17:F17"/>
    <mergeCell ref="C18:F18"/>
    <mergeCell ref="C7:F7"/>
    <mergeCell ref="C8:F8"/>
    <mergeCell ref="C9:F9"/>
    <mergeCell ref="C10:F10"/>
    <mergeCell ref="C11:F11"/>
    <mergeCell ref="C12:F12"/>
    <mergeCell ref="A1:J1"/>
    <mergeCell ref="A3:H3"/>
    <mergeCell ref="A4:H4"/>
    <mergeCell ref="A5:A6"/>
    <mergeCell ref="B5:B6"/>
    <mergeCell ref="C5:F6"/>
    <mergeCell ref="G5:G6"/>
    <mergeCell ref="H5:J5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D35" sqref="D35"/>
    </sheetView>
  </sheetViews>
  <sheetFormatPr defaultColWidth="9.140625" defaultRowHeight="15"/>
  <cols>
    <col min="2" max="2" width="54.421875" style="0" customWidth="1"/>
    <col min="3" max="3" width="18.28125" style="0" customWidth="1"/>
    <col min="4" max="4" width="18.140625" style="0" customWidth="1"/>
    <col min="5" max="5" width="20.00390625" style="0" customWidth="1"/>
  </cols>
  <sheetData>
    <row r="1" spans="1:5" ht="15">
      <c r="A1" s="491" t="s">
        <v>372</v>
      </c>
      <c r="B1" s="491"/>
      <c r="C1" s="491"/>
      <c r="D1" s="491"/>
      <c r="E1" s="491"/>
    </row>
    <row r="3" ht="15.75">
      <c r="B3" s="237"/>
    </row>
    <row r="4" ht="15.75">
      <c r="B4" s="238" t="s">
        <v>353</v>
      </c>
    </row>
    <row r="5" ht="15.75">
      <c r="B5" s="238"/>
    </row>
    <row r="6" spans="2:5" ht="15">
      <c r="B6" s="239" t="s">
        <v>354</v>
      </c>
      <c r="C6" s="240"/>
      <c r="D6" s="240"/>
      <c r="E6" s="240"/>
    </row>
    <row r="7" spans="2:5" ht="15">
      <c r="B7" s="241" t="s">
        <v>355</v>
      </c>
      <c r="C7" s="242" t="s">
        <v>356</v>
      </c>
      <c r="D7" s="242" t="s">
        <v>357</v>
      </c>
      <c r="E7" s="242" t="s">
        <v>358</v>
      </c>
    </row>
    <row r="8" spans="2:5" ht="15">
      <c r="B8" s="241"/>
      <c r="C8" s="243"/>
      <c r="D8" s="243"/>
      <c r="E8" s="243"/>
    </row>
    <row r="9" spans="2:5" ht="15">
      <c r="B9" s="241" t="s">
        <v>359</v>
      </c>
      <c r="C9" s="243">
        <v>0</v>
      </c>
      <c r="D9" s="243"/>
      <c r="E9" s="243"/>
    </row>
    <row r="10" spans="2:5" ht="15">
      <c r="B10" s="239"/>
      <c r="C10" s="244"/>
      <c r="D10" s="240"/>
      <c r="E10" s="240"/>
    </row>
    <row r="11" spans="2:5" ht="15">
      <c r="B11" s="239" t="s">
        <v>360</v>
      </c>
      <c r="C11" s="244"/>
      <c r="D11" s="240"/>
      <c r="E11" s="240"/>
    </row>
    <row r="12" spans="2:5" ht="15">
      <c r="B12" s="242" t="s">
        <v>242</v>
      </c>
      <c r="C12" s="242" t="s">
        <v>356</v>
      </c>
      <c r="D12" s="242" t="s">
        <v>357</v>
      </c>
      <c r="E12" s="242" t="s">
        <v>358</v>
      </c>
    </row>
    <row r="13" spans="2:5" ht="15">
      <c r="B13" s="241" t="s">
        <v>361</v>
      </c>
      <c r="C13" s="245">
        <f>'önkorm.bev'!G22</f>
        <v>58600000</v>
      </c>
      <c r="D13" s="243"/>
      <c r="E13" s="246"/>
    </row>
    <row r="14" spans="2:5" ht="25.5">
      <c r="B14" s="241" t="s">
        <v>362</v>
      </c>
      <c r="C14" s="401">
        <v>3102000</v>
      </c>
      <c r="D14" s="243"/>
      <c r="E14" s="243"/>
    </row>
    <row r="15" spans="2:5" ht="15">
      <c r="B15" s="241" t="s">
        <v>363</v>
      </c>
      <c r="C15" s="245">
        <v>0</v>
      </c>
      <c r="D15" s="243"/>
      <c r="E15" s="243"/>
    </row>
    <row r="16" spans="2:5" ht="25.5">
      <c r="B16" s="241" t="s">
        <v>364</v>
      </c>
      <c r="C16" s="245">
        <v>0</v>
      </c>
      <c r="D16" s="243"/>
      <c r="E16" s="243"/>
    </row>
    <row r="17" spans="2:5" ht="15">
      <c r="B17" s="608" t="s">
        <v>365</v>
      </c>
      <c r="C17" s="609">
        <v>1000000</v>
      </c>
      <c r="D17" s="610"/>
      <c r="E17" s="610"/>
    </row>
    <row r="18" spans="2:5" ht="15">
      <c r="B18" s="608"/>
      <c r="C18" s="609"/>
      <c r="D18" s="610"/>
      <c r="E18" s="610"/>
    </row>
    <row r="19" spans="2:5" ht="15">
      <c r="B19" s="608"/>
      <c r="C19" s="609"/>
      <c r="D19" s="610"/>
      <c r="E19" s="610"/>
    </row>
    <row r="20" spans="2:5" ht="15">
      <c r="B20" s="246" t="s">
        <v>366</v>
      </c>
      <c r="C20" s="245">
        <v>0</v>
      </c>
      <c r="D20" s="242"/>
      <c r="E20" s="242"/>
    </row>
    <row r="21" spans="2:5" ht="15">
      <c r="B21" s="611" t="s">
        <v>359</v>
      </c>
      <c r="C21" s="609">
        <f>SUM(C13:C20)</f>
        <v>62702000</v>
      </c>
      <c r="D21" s="612"/>
      <c r="E21" s="247"/>
    </row>
    <row r="22" spans="2:5" ht="15">
      <c r="B22" s="611"/>
      <c r="C22" s="610"/>
      <c r="D22" s="612"/>
      <c r="E22" s="248"/>
    </row>
    <row r="23" spans="2:5" ht="15">
      <c r="B23" s="611"/>
      <c r="C23" s="610"/>
      <c r="D23" s="612"/>
      <c r="E23" s="249"/>
    </row>
    <row r="24" spans="2:5" ht="15">
      <c r="B24" s="250"/>
      <c r="C24" s="244"/>
      <c r="D24" s="240"/>
      <c r="E24" s="240"/>
    </row>
    <row r="25" spans="2:5" ht="15">
      <c r="B25" s="239" t="s">
        <v>367</v>
      </c>
      <c r="C25" s="244"/>
      <c r="D25" s="240"/>
      <c r="E25" s="240"/>
    </row>
    <row r="26" spans="2:5" ht="15">
      <c r="B26" s="239" t="s">
        <v>368</v>
      </c>
      <c r="C26" s="244"/>
      <c r="D26" s="240"/>
      <c r="E26" s="240"/>
    </row>
    <row r="27" spans="2:5" ht="15">
      <c r="B27" s="241" t="s">
        <v>242</v>
      </c>
      <c r="C27" s="242" t="s">
        <v>356</v>
      </c>
      <c r="D27" s="242" t="s">
        <v>357</v>
      </c>
      <c r="E27" s="242" t="s">
        <v>358</v>
      </c>
    </row>
    <row r="28" spans="2:5" ht="15">
      <c r="B28" s="241" t="s">
        <v>369</v>
      </c>
      <c r="C28" s="251">
        <f>C21/2</f>
        <v>31351000</v>
      </c>
      <c r="D28" s="243"/>
      <c r="E28" s="243"/>
    </row>
    <row r="29" spans="2:5" ht="15">
      <c r="B29" s="241" t="s">
        <v>370</v>
      </c>
      <c r="C29" s="251">
        <v>0</v>
      </c>
      <c r="D29" s="243"/>
      <c r="E29" s="243"/>
    </row>
    <row r="30" spans="2:5" ht="25.5">
      <c r="B30" s="241" t="s">
        <v>371</v>
      </c>
      <c r="C30" s="251">
        <f>C28-C29</f>
        <v>31351000</v>
      </c>
      <c r="D30" s="243"/>
      <c r="E30" s="243"/>
    </row>
    <row r="31" spans="2:5" ht="15">
      <c r="B31" s="240"/>
      <c r="C31" s="240"/>
      <c r="D31" s="240"/>
      <c r="E31" s="240"/>
    </row>
  </sheetData>
  <sheetProtection/>
  <mergeCells count="8">
    <mergeCell ref="A1:E1"/>
    <mergeCell ref="B17:B19"/>
    <mergeCell ref="C17:C19"/>
    <mergeCell ref="D17:D19"/>
    <mergeCell ref="E17:E19"/>
    <mergeCell ref="B21:B23"/>
    <mergeCell ref="C21:C23"/>
    <mergeCell ref="D21:D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O13" sqref="O13"/>
    </sheetView>
  </sheetViews>
  <sheetFormatPr defaultColWidth="9.140625" defaultRowHeight="15"/>
  <cols>
    <col min="3" max="3" width="30.28125" style="0" bestFit="1" customWidth="1"/>
    <col min="4" max="4" width="12.00390625" style="0" bestFit="1" customWidth="1"/>
  </cols>
  <sheetData>
    <row r="1" spans="1:10" ht="15">
      <c r="A1" s="491" t="s">
        <v>384</v>
      </c>
      <c r="B1" s="491"/>
      <c r="C1" s="491"/>
      <c r="D1" s="491"/>
      <c r="E1" s="491"/>
      <c r="F1" s="491"/>
      <c r="G1" s="491"/>
      <c r="H1" s="491"/>
      <c r="I1" s="491"/>
      <c r="J1" s="491"/>
    </row>
    <row r="3" spans="2:10" ht="15.75">
      <c r="B3" s="252"/>
      <c r="C3" s="252"/>
      <c r="D3" s="253"/>
      <c r="E3" s="254"/>
      <c r="F3" s="254"/>
      <c r="G3" s="254"/>
      <c r="H3" s="254"/>
      <c r="I3" s="254"/>
      <c r="J3" s="254"/>
    </row>
    <row r="4" spans="2:10" ht="15">
      <c r="B4" s="616" t="s">
        <v>385</v>
      </c>
      <c r="C4" s="617"/>
      <c r="D4" s="617"/>
      <c r="E4" s="617"/>
      <c r="F4" s="617"/>
      <c r="G4" s="617"/>
      <c r="H4" s="617"/>
      <c r="I4" s="617"/>
      <c r="J4" s="618"/>
    </row>
    <row r="5" spans="2:10" ht="15.75" thickBot="1">
      <c r="B5" s="619"/>
      <c r="C5" s="620"/>
      <c r="D5" s="620"/>
      <c r="E5" s="620"/>
      <c r="F5" s="620"/>
      <c r="G5" s="620"/>
      <c r="H5" s="620"/>
      <c r="I5" s="620"/>
      <c r="J5" s="621"/>
    </row>
    <row r="6" spans="2:10" ht="15">
      <c r="B6" s="255" t="s">
        <v>373</v>
      </c>
      <c r="C6" s="256" t="s">
        <v>374</v>
      </c>
      <c r="D6" s="256" t="s">
        <v>375</v>
      </c>
      <c r="E6" s="622" t="s">
        <v>376</v>
      </c>
      <c r="F6" s="622"/>
      <c r="G6" s="622"/>
      <c r="H6" s="623" t="s">
        <v>377</v>
      </c>
      <c r="I6" s="623"/>
      <c r="J6" s="623"/>
    </row>
    <row r="7" spans="2:10" ht="15">
      <c r="B7" s="257"/>
      <c r="C7" s="258"/>
      <c r="D7" s="258"/>
      <c r="E7" s="624" t="s">
        <v>243</v>
      </c>
      <c r="F7" s="625"/>
      <c r="G7" s="626"/>
      <c r="H7" s="624" t="s">
        <v>243</v>
      </c>
      <c r="I7" s="625"/>
      <c r="J7" s="627"/>
    </row>
    <row r="8" spans="2:10" ht="15">
      <c r="B8" s="632" t="s">
        <v>378</v>
      </c>
      <c r="C8" s="635" t="s">
        <v>379</v>
      </c>
      <c r="D8" s="259" t="s">
        <v>380</v>
      </c>
      <c r="E8" s="637" t="s">
        <v>381</v>
      </c>
      <c r="F8" s="638"/>
      <c r="G8" s="639"/>
      <c r="H8" s="637" t="s">
        <v>381</v>
      </c>
      <c r="I8" s="638"/>
      <c r="J8" s="640"/>
    </row>
    <row r="9" spans="2:10" ht="15">
      <c r="B9" s="633"/>
      <c r="C9" s="635"/>
      <c r="D9" s="259" t="s">
        <v>382</v>
      </c>
      <c r="E9" s="637">
        <v>11328185</v>
      </c>
      <c r="F9" s="638"/>
      <c r="G9" s="639"/>
      <c r="H9" s="637" t="s">
        <v>381</v>
      </c>
      <c r="I9" s="638"/>
      <c r="J9" s="640"/>
    </row>
    <row r="10" spans="2:10" ht="15.75" thickBot="1">
      <c r="B10" s="634"/>
      <c r="C10" s="636"/>
      <c r="D10" s="260" t="s">
        <v>250</v>
      </c>
      <c r="E10" s="641">
        <f>E9</f>
        <v>11328185</v>
      </c>
      <c r="F10" s="642"/>
      <c r="G10" s="643"/>
      <c r="H10" s="613" t="s">
        <v>381</v>
      </c>
      <c r="I10" s="614"/>
      <c r="J10" s="615"/>
    </row>
    <row r="11" spans="2:10" ht="15.75" thickBot="1">
      <c r="B11" s="628" t="s">
        <v>383</v>
      </c>
      <c r="C11" s="628"/>
      <c r="D11" s="628"/>
      <c r="E11" s="629">
        <f>E10</f>
        <v>11328185</v>
      </c>
      <c r="F11" s="630"/>
      <c r="G11" s="631"/>
      <c r="H11" s="629"/>
      <c r="I11" s="630"/>
      <c r="J11" s="631"/>
    </row>
  </sheetData>
  <sheetProtection/>
  <mergeCells count="17">
    <mergeCell ref="B11:D11"/>
    <mergeCell ref="E11:G11"/>
    <mergeCell ref="H11:J11"/>
    <mergeCell ref="B8:B10"/>
    <mergeCell ref="C8:C10"/>
    <mergeCell ref="E8:G8"/>
    <mergeCell ref="H8:J8"/>
    <mergeCell ref="E9:G9"/>
    <mergeCell ref="H9:J9"/>
    <mergeCell ref="E10:G10"/>
    <mergeCell ref="H10:J10"/>
    <mergeCell ref="A1:J1"/>
    <mergeCell ref="B4:J5"/>
    <mergeCell ref="E6:G6"/>
    <mergeCell ref="H6:J6"/>
    <mergeCell ref="E7:G7"/>
    <mergeCell ref="H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B1">
      <selection activeCell="B34" sqref="B34"/>
    </sheetView>
  </sheetViews>
  <sheetFormatPr defaultColWidth="9.140625" defaultRowHeight="15"/>
  <cols>
    <col min="2" max="2" width="36.57421875" style="0" customWidth="1"/>
    <col min="6" max="6" width="9.421875" style="0" customWidth="1"/>
    <col min="7" max="7" width="15.8515625" style="381" bestFit="1" customWidth="1"/>
    <col min="8" max="8" width="10.8515625" style="381" bestFit="1" customWidth="1"/>
    <col min="9" max="9" width="10.140625" style="382" bestFit="1" customWidth="1"/>
    <col min="10" max="10" width="9.140625" style="382" customWidth="1"/>
    <col min="12" max="12" width="9.8515625" style="0" bestFit="1" customWidth="1"/>
  </cols>
  <sheetData>
    <row r="1" spans="1:10" ht="15">
      <c r="A1" s="491" t="s">
        <v>154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ht="15">
      <c r="A2" s="1"/>
      <c r="B2" s="1"/>
      <c r="C2" s="1"/>
      <c r="D2" s="1"/>
      <c r="E2" s="1"/>
      <c r="F2" s="1"/>
      <c r="G2" s="374"/>
      <c r="H2" s="375"/>
      <c r="I2" s="332"/>
      <c r="J2" s="332"/>
    </row>
    <row r="3" spans="1:10" ht="15.75">
      <c r="A3" s="492" t="s">
        <v>1</v>
      </c>
      <c r="B3" s="492"/>
      <c r="C3" s="492"/>
      <c r="D3" s="492"/>
      <c r="E3" s="492"/>
      <c r="F3" s="492"/>
      <c r="G3" s="492"/>
      <c r="H3" s="375"/>
      <c r="I3" s="332"/>
      <c r="J3" s="332"/>
    </row>
    <row r="4" spans="1:10" ht="15.75">
      <c r="A4" s="493" t="s">
        <v>155</v>
      </c>
      <c r="B4" s="494"/>
      <c r="C4" s="494"/>
      <c r="D4" s="494"/>
      <c r="E4" s="494"/>
      <c r="F4" s="494"/>
      <c r="G4" s="494"/>
      <c r="H4" s="375"/>
      <c r="I4" s="332"/>
      <c r="J4" s="332"/>
    </row>
    <row r="5" spans="1:10" ht="15">
      <c r="A5" s="495" t="s">
        <v>3</v>
      </c>
      <c r="B5" s="496" t="s">
        <v>4</v>
      </c>
      <c r="C5" s="497" t="s">
        <v>5</v>
      </c>
      <c r="D5" s="497"/>
      <c r="E5" s="497"/>
      <c r="F5" s="497"/>
      <c r="G5" s="527" t="s">
        <v>144</v>
      </c>
      <c r="H5" s="499" t="s">
        <v>7</v>
      </c>
      <c r="I5" s="500"/>
      <c r="J5" s="501"/>
    </row>
    <row r="6" spans="1:10" ht="26.25">
      <c r="A6" s="495"/>
      <c r="B6" s="496"/>
      <c r="C6" s="497"/>
      <c r="D6" s="497"/>
      <c r="E6" s="497"/>
      <c r="F6" s="497"/>
      <c r="G6" s="527"/>
      <c r="H6" s="63" t="s">
        <v>8</v>
      </c>
      <c r="I6" s="4" t="s">
        <v>9</v>
      </c>
      <c r="J6" s="4" t="s">
        <v>10</v>
      </c>
    </row>
    <row r="7" spans="1:10" ht="25.5">
      <c r="A7" s="5" t="s">
        <v>11</v>
      </c>
      <c r="B7" s="6" t="s">
        <v>156</v>
      </c>
      <c r="C7" s="502" t="s">
        <v>157</v>
      </c>
      <c r="D7" s="502"/>
      <c r="E7" s="502"/>
      <c r="F7" s="502"/>
      <c r="G7" s="376">
        <f>203690341+1036753+2720125</f>
        <v>207447219</v>
      </c>
      <c r="H7" s="376">
        <f>G7</f>
        <v>207447219</v>
      </c>
      <c r="I7" s="198"/>
      <c r="J7" s="198"/>
    </row>
    <row r="8" spans="1:10" ht="25.5">
      <c r="A8" s="5" t="s">
        <v>14</v>
      </c>
      <c r="B8" s="10" t="s">
        <v>158</v>
      </c>
      <c r="C8" s="502" t="s">
        <v>159</v>
      </c>
      <c r="D8" s="502"/>
      <c r="E8" s="502"/>
      <c r="F8" s="502"/>
      <c r="G8" s="376">
        <f>126082200+3300000+5940720+214140+5390000</f>
        <v>140927060</v>
      </c>
      <c r="H8" s="376">
        <f aca="true" t="shared" si="0" ref="H8:H13">G8</f>
        <v>140927060</v>
      </c>
      <c r="I8" s="198"/>
      <c r="J8" s="198"/>
    </row>
    <row r="9" spans="1:12" ht="25.5">
      <c r="A9" s="5" t="s">
        <v>17</v>
      </c>
      <c r="B9" s="10" t="s">
        <v>160</v>
      </c>
      <c r="C9" s="502" t="s">
        <v>161</v>
      </c>
      <c r="D9" s="502"/>
      <c r="E9" s="502"/>
      <c r="F9" s="502"/>
      <c r="G9" s="376">
        <f>30945273+6002416+5812900+1178100+312000+492000+'[9]Hiv.'!$Q$72</f>
        <v>50258669</v>
      </c>
      <c r="H9" s="376">
        <v>0</v>
      </c>
      <c r="I9" s="198"/>
      <c r="J9" s="198"/>
      <c r="L9" s="61"/>
    </row>
    <row r="10" spans="1:10" ht="25.5">
      <c r="A10" s="5" t="s">
        <v>20</v>
      </c>
      <c r="B10" s="10" t="s">
        <v>162</v>
      </c>
      <c r="C10" s="503" t="s">
        <v>163</v>
      </c>
      <c r="D10" s="525"/>
      <c r="E10" s="525"/>
      <c r="F10" s="526"/>
      <c r="G10" s="376">
        <f>42947075+786600+1983744</f>
        <v>45717419</v>
      </c>
      <c r="H10" s="376">
        <v>0</v>
      </c>
      <c r="I10" s="198"/>
      <c r="J10" s="198"/>
    </row>
    <row r="11" spans="1:10" ht="38.25">
      <c r="A11" s="5" t="s">
        <v>23</v>
      </c>
      <c r="B11" s="10" t="s">
        <v>164</v>
      </c>
      <c r="C11" s="503" t="s">
        <v>165</v>
      </c>
      <c r="D11" s="525"/>
      <c r="E11" s="525"/>
      <c r="F11" s="526"/>
      <c r="G11" s="376"/>
      <c r="H11" s="376">
        <f>G9+G10</f>
        <v>95976088</v>
      </c>
      <c r="I11" s="198"/>
      <c r="J11" s="198"/>
    </row>
    <row r="12" spans="1:10" ht="25.5">
      <c r="A12" s="5" t="s">
        <v>26</v>
      </c>
      <c r="B12" s="10" t="s">
        <v>166</v>
      </c>
      <c r="C12" s="502" t="s">
        <v>167</v>
      </c>
      <c r="D12" s="502"/>
      <c r="E12" s="502"/>
      <c r="F12" s="502"/>
      <c r="G12" s="376">
        <f>11157946</f>
        <v>11157946</v>
      </c>
      <c r="H12" s="376">
        <f t="shared" si="0"/>
        <v>11157946</v>
      </c>
      <c r="I12" s="198"/>
      <c r="J12" s="198"/>
    </row>
    <row r="13" spans="1:10" ht="15">
      <c r="A13" s="5" t="s">
        <v>29</v>
      </c>
      <c r="B13" s="403" t="s">
        <v>436</v>
      </c>
      <c r="C13" s="502" t="s">
        <v>435</v>
      </c>
      <c r="D13" s="502"/>
      <c r="E13" s="502"/>
      <c r="F13" s="502"/>
      <c r="G13" s="376">
        <v>15000000</v>
      </c>
      <c r="H13" s="376">
        <f t="shared" si="0"/>
        <v>15000000</v>
      </c>
      <c r="I13" s="198"/>
      <c r="J13" s="198"/>
    </row>
    <row r="14" spans="1:13" ht="25.5">
      <c r="A14" s="5" t="s">
        <v>32</v>
      </c>
      <c r="B14" s="10" t="s">
        <v>170</v>
      </c>
      <c r="C14" s="502" t="s">
        <v>171</v>
      </c>
      <c r="D14" s="502"/>
      <c r="E14" s="502"/>
      <c r="F14" s="502"/>
      <c r="G14" s="376">
        <f>32600000+K14+'[9]SZLK'!$C$50</f>
        <v>76716320.5</v>
      </c>
      <c r="H14" s="376">
        <f>G14</f>
        <v>76716320.5</v>
      </c>
      <c r="I14" s="198"/>
      <c r="J14" s="198"/>
      <c r="K14" s="306">
        <v>36940598</v>
      </c>
      <c r="L14" t="s">
        <v>398</v>
      </c>
      <c r="M14" t="s">
        <v>399</v>
      </c>
    </row>
    <row r="15" spans="1:10" ht="25.5">
      <c r="A15" s="13" t="s">
        <v>35</v>
      </c>
      <c r="B15" s="14" t="s">
        <v>172</v>
      </c>
      <c r="C15" s="506" t="s">
        <v>173</v>
      </c>
      <c r="D15" s="506"/>
      <c r="E15" s="506"/>
      <c r="F15" s="506"/>
      <c r="G15" s="64">
        <f>SUM(G7:G14)</f>
        <v>547224633.5</v>
      </c>
      <c r="H15" s="64">
        <f>SUM(H7:H14)</f>
        <v>547224633.5</v>
      </c>
      <c r="I15" s="18">
        <f>SUM(I7:I14)</f>
        <v>0</v>
      </c>
      <c r="J15" s="18">
        <f>SUM(J7:J14)</f>
        <v>0</v>
      </c>
    </row>
    <row r="16" spans="1:10" ht="25.5">
      <c r="A16" s="5" t="s">
        <v>38</v>
      </c>
      <c r="B16" s="10" t="s">
        <v>174</v>
      </c>
      <c r="C16" s="502" t="s">
        <v>175</v>
      </c>
      <c r="D16" s="502"/>
      <c r="E16" s="502"/>
      <c r="F16" s="502"/>
      <c r="G16" s="376">
        <f>'bev.össz'!G16</f>
        <v>11328185</v>
      </c>
      <c r="H16" s="376">
        <v>11328185</v>
      </c>
      <c r="I16" s="333"/>
      <c r="J16" s="333"/>
    </row>
    <row r="17" spans="1:10" ht="25.5">
      <c r="A17" s="13" t="s">
        <v>41</v>
      </c>
      <c r="B17" s="14" t="s">
        <v>176</v>
      </c>
      <c r="C17" s="506" t="s">
        <v>177</v>
      </c>
      <c r="D17" s="506"/>
      <c r="E17" s="506"/>
      <c r="F17" s="506"/>
      <c r="G17" s="64">
        <f>G16</f>
        <v>11328185</v>
      </c>
      <c r="H17" s="64">
        <f>H16</f>
        <v>11328185</v>
      </c>
      <c r="I17" s="18">
        <f>I16</f>
        <v>0</v>
      </c>
      <c r="J17" s="18">
        <f>J16</f>
        <v>0</v>
      </c>
    </row>
    <row r="18" spans="1:10" ht="15">
      <c r="A18" s="5" t="s">
        <v>44</v>
      </c>
      <c r="B18" s="10" t="s">
        <v>178</v>
      </c>
      <c r="C18" s="502" t="s">
        <v>179</v>
      </c>
      <c r="D18" s="502"/>
      <c r="E18" s="502"/>
      <c r="F18" s="502"/>
      <c r="G18" s="376">
        <f>'[4]Bev.Önk.'!$E$29</f>
        <v>13000000</v>
      </c>
      <c r="H18" s="377">
        <f>G18</f>
        <v>13000000</v>
      </c>
      <c r="I18" s="198"/>
      <c r="J18" s="198"/>
    </row>
    <row r="19" spans="1:10" ht="15">
      <c r="A19" s="5" t="s">
        <v>47</v>
      </c>
      <c r="B19" s="10" t="s">
        <v>180</v>
      </c>
      <c r="C19" s="502" t="s">
        <v>181</v>
      </c>
      <c r="D19" s="502"/>
      <c r="E19" s="502"/>
      <c r="F19" s="502"/>
      <c r="G19" s="376">
        <f>'[4]Bev.Önk.'!$F$96</f>
        <v>45000000</v>
      </c>
      <c r="H19" s="377">
        <f>G19</f>
        <v>45000000</v>
      </c>
      <c r="I19" s="198"/>
      <c r="J19" s="198"/>
    </row>
    <row r="20" spans="1:10" ht="15">
      <c r="A20" s="5" t="s">
        <v>50</v>
      </c>
      <c r="B20" s="10" t="s">
        <v>182</v>
      </c>
      <c r="C20" s="502" t="s">
        <v>183</v>
      </c>
      <c r="D20" s="502"/>
      <c r="E20" s="502"/>
      <c r="F20" s="502"/>
      <c r="G20" s="376">
        <f>'[2]Bev.Önk.'!$F$96</f>
        <v>0</v>
      </c>
      <c r="H20" s="377">
        <f>G20</f>
        <v>0</v>
      </c>
      <c r="I20" s="198"/>
      <c r="J20" s="198"/>
    </row>
    <row r="21" spans="1:10" ht="15">
      <c r="A21" s="5" t="s">
        <v>53</v>
      </c>
      <c r="B21" s="10" t="s">
        <v>184</v>
      </c>
      <c r="C21" s="502" t="s">
        <v>185</v>
      </c>
      <c r="D21" s="502"/>
      <c r="E21" s="502"/>
      <c r="F21" s="502"/>
      <c r="G21" s="376">
        <f>'[4]Bev.Önk.'!$F$87</f>
        <v>600000</v>
      </c>
      <c r="H21" s="377">
        <f>G21</f>
        <v>600000</v>
      </c>
      <c r="I21" s="198"/>
      <c r="J21" s="198"/>
    </row>
    <row r="22" spans="1:10" ht="15">
      <c r="A22" s="13" t="s">
        <v>56</v>
      </c>
      <c r="B22" s="14" t="s">
        <v>186</v>
      </c>
      <c r="C22" s="506" t="s">
        <v>187</v>
      </c>
      <c r="D22" s="506"/>
      <c r="E22" s="506"/>
      <c r="F22" s="506"/>
      <c r="G22" s="64">
        <f>SUM(G18:G21)</f>
        <v>58600000</v>
      </c>
      <c r="H22" s="64">
        <f>SUM(H18:H21)</f>
        <v>58600000</v>
      </c>
      <c r="I22" s="18">
        <f>SUM(I18:I21)</f>
        <v>0</v>
      </c>
      <c r="J22" s="18">
        <f>SUM(J18:J21)</f>
        <v>0</v>
      </c>
    </row>
    <row r="23" spans="1:11" ht="15">
      <c r="A23" s="5" t="s">
        <v>59</v>
      </c>
      <c r="B23" s="19" t="s">
        <v>188</v>
      </c>
      <c r="C23" s="502" t="s">
        <v>189</v>
      </c>
      <c r="D23" s="502"/>
      <c r="E23" s="502"/>
      <c r="F23" s="502"/>
      <c r="G23" s="376">
        <v>6000000</v>
      </c>
      <c r="H23" s="378"/>
      <c r="I23" s="337">
        <f aca="true" t="shared" si="1" ref="I23:I28">G23</f>
        <v>6000000</v>
      </c>
      <c r="J23" s="198"/>
      <c r="K23" t="s">
        <v>400</v>
      </c>
    </row>
    <row r="24" spans="1:10" ht="15">
      <c r="A24" s="5" t="s">
        <v>62</v>
      </c>
      <c r="B24" s="19" t="s">
        <v>190</v>
      </c>
      <c r="C24" s="502" t="s">
        <v>191</v>
      </c>
      <c r="D24" s="502"/>
      <c r="E24" s="502"/>
      <c r="F24" s="502"/>
      <c r="G24" s="376">
        <v>0</v>
      </c>
      <c r="H24" s="378"/>
      <c r="I24" s="337">
        <f t="shared" si="1"/>
        <v>0</v>
      </c>
      <c r="J24" s="198"/>
    </row>
    <row r="25" spans="1:11" ht="15">
      <c r="A25" s="5" t="s">
        <v>65</v>
      </c>
      <c r="B25" s="19" t="s">
        <v>192</v>
      </c>
      <c r="C25" s="502" t="s">
        <v>193</v>
      </c>
      <c r="D25" s="502"/>
      <c r="E25" s="502"/>
      <c r="F25" s="502"/>
      <c r="G25" s="376">
        <v>2000000</v>
      </c>
      <c r="H25" s="378"/>
      <c r="I25" s="337">
        <f t="shared" si="1"/>
        <v>2000000</v>
      </c>
      <c r="J25" s="198"/>
      <c r="K25" t="s">
        <v>401</v>
      </c>
    </row>
    <row r="26" spans="1:11" ht="15">
      <c r="A26" s="5" t="s">
        <v>68</v>
      </c>
      <c r="B26" s="19" t="s">
        <v>194</v>
      </c>
      <c r="C26" s="502" t="s">
        <v>195</v>
      </c>
      <c r="D26" s="502"/>
      <c r="E26" s="502"/>
      <c r="F26" s="502"/>
      <c r="G26" s="376">
        <f>'[4]Bev.Önk.'!$F$102</f>
        <v>15500000</v>
      </c>
      <c r="H26" s="378"/>
      <c r="I26" s="337">
        <f t="shared" si="1"/>
        <v>15500000</v>
      </c>
      <c r="J26" s="198"/>
      <c r="K26" t="s">
        <v>402</v>
      </c>
    </row>
    <row r="27" spans="1:11" ht="15">
      <c r="A27" s="5" t="s">
        <v>71</v>
      </c>
      <c r="B27" s="19" t="s">
        <v>196</v>
      </c>
      <c r="C27" s="502" t="s">
        <v>197</v>
      </c>
      <c r="D27" s="502"/>
      <c r="E27" s="502"/>
      <c r="F27" s="502"/>
      <c r="G27" s="376">
        <f>'[4]Bev.Önk.'!$F$103</f>
        <v>1000000</v>
      </c>
      <c r="H27" s="378"/>
      <c r="I27" s="337">
        <f t="shared" si="1"/>
        <v>1000000</v>
      </c>
      <c r="J27" s="198"/>
      <c r="K27" t="s">
        <v>403</v>
      </c>
    </row>
    <row r="28" spans="1:10" ht="15">
      <c r="A28" s="5" t="s">
        <v>74</v>
      </c>
      <c r="B28" s="19" t="s">
        <v>198</v>
      </c>
      <c r="C28" s="502" t="s">
        <v>199</v>
      </c>
      <c r="D28" s="502"/>
      <c r="E28" s="502"/>
      <c r="F28" s="502"/>
      <c r="G28" s="376">
        <f>'[4]Bev.Önk.'!$F$104</f>
        <v>1804074.377577803</v>
      </c>
      <c r="H28" s="378"/>
      <c r="I28" s="337">
        <f t="shared" si="1"/>
        <v>1804074.377577803</v>
      </c>
      <c r="J28" s="198"/>
    </row>
    <row r="29" spans="1:10" ht="15">
      <c r="A29" s="13" t="s">
        <v>77</v>
      </c>
      <c r="B29" s="41" t="s">
        <v>200</v>
      </c>
      <c r="C29" s="506" t="s">
        <v>201</v>
      </c>
      <c r="D29" s="506"/>
      <c r="E29" s="506"/>
      <c r="F29" s="506"/>
      <c r="G29" s="64">
        <f>SUM(G23:G28)</f>
        <v>26304074.377577804</v>
      </c>
      <c r="H29" s="64">
        <f>SUM(H23:H28)</f>
        <v>0</v>
      </c>
      <c r="I29" s="18">
        <f>SUM(I23:I28)</f>
        <v>26304074.377577804</v>
      </c>
      <c r="J29" s="18">
        <f>SUM(J23:J28)</f>
        <v>0</v>
      </c>
    </row>
    <row r="30" spans="1:10" ht="15">
      <c r="A30" s="42" t="s">
        <v>80</v>
      </c>
      <c r="B30" s="21" t="s">
        <v>202</v>
      </c>
      <c r="C30" s="503" t="s">
        <v>203</v>
      </c>
      <c r="D30" s="507"/>
      <c r="E30" s="507"/>
      <c r="F30" s="508"/>
      <c r="G30" s="65">
        <f>'[4]Bev.Önk.'!$F$105</f>
        <v>3102000</v>
      </c>
      <c r="H30" s="378"/>
      <c r="I30" s="337">
        <f>G30</f>
        <v>3102000</v>
      </c>
      <c r="J30" s="198"/>
    </row>
    <row r="31" spans="1:10" ht="15">
      <c r="A31" s="13" t="s">
        <v>83</v>
      </c>
      <c r="B31" s="41" t="s">
        <v>204</v>
      </c>
      <c r="C31" s="509" t="s">
        <v>205</v>
      </c>
      <c r="D31" s="510"/>
      <c r="E31" s="510"/>
      <c r="F31" s="511"/>
      <c r="G31" s="64">
        <f>SUM(G30)</f>
        <v>3102000</v>
      </c>
      <c r="H31" s="64">
        <f>SUM(H30)</f>
        <v>0</v>
      </c>
      <c r="I31" s="18">
        <f>SUM(I30)</f>
        <v>3102000</v>
      </c>
      <c r="J31" s="18">
        <f>SUM(J30)</f>
        <v>0</v>
      </c>
    </row>
    <row r="32" spans="1:12" ht="38.25">
      <c r="A32" s="5" t="s">
        <v>86</v>
      </c>
      <c r="B32" s="10" t="s">
        <v>206</v>
      </c>
      <c r="C32" s="502" t="s">
        <v>207</v>
      </c>
      <c r="D32" s="502"/>
      <c r="E32" s="502"/>
      <c r="F32" s="502"/>
      <c r="G32" s="376">
        <f>'[1]Bev.Önk.'!$F$88</f>
        <v>3687509</v>
      </c>
      <c r="H32" s="376">
        <f>G32</f>
        <v>3687509</v>
      </c>
      <c r="I32" s="20"/>
      <c r="J32" s="20"/>
      <c r="L32" t="s">
        <v>443</v>
      </c>
    </row>
    <row r="33" spans="1:10" ht="15">
      <c r="A33" s="13" t="s">
        <v>89</v>
      </c>
      <c r="B33" s="14" t="s">
        <v>208</v>
      </c>
      <c r="C33" s="506" t="s">
        <v>209</v>
      </c>
      <c r="D33" s="506"/>
      <c r="E33" s="506"/>
      <c r="F33" s="506"/>
      <c r="G33" s="64">
        <f>SUM(G32)</f>
        <v>3687509</v>
      </c>
      <c r="H33" s="64">
        <f>SUM(H32)</f>
        <v>3687509</v>
      </c>
      <c r="I33" s="18">
        <f>SUM(I32)</f>
        <v>0</v>
      </c>
      <c r="J33" s="18">
        <f>SUM(J32)</f>
        <v>0</v>
      </c>
    </row>
    <row r="34" spans="1:12" ht="15">
      <c r="A34" s="5" t="s">
        <v>92</v>
      </c>
      <c r="B34" s="10" t="s">
        <v>210</v>
      </c>
      <c r="C34" s="503" t="s">
        <v>211</v>
      </c>
      <c r="D34" s="507"/>
      <c r="E34" s="507"/>
      <c r="F34" s="508"/>
      <c r="G34" s="65">
        <f>'[1]Bev.Önk.'!$F$89</f>
        <v>1000000</v>
      </c>
      <c r="H34" s="65">
        <f>'[1]Bev.Önk.'!$F$89</f>
        <v>1000000</v>
      </c>
      <c r="I34" s="198"/>
      <c r="J34" s="198"/>
      <c r="L34" t="s">
        <v>397</v>
      </c>
    </row>
    <row r="35" spans="1:10" ht="15">
      <c r="A35" s="13" t="s">
        <v>95</v>
      </c>
      <c r="B35" s="14" t="s">
        <v>212</v>
      </c>
      <c r="C35" s="506" t="s">
        <v>213</v>
      </c>
      <c r="D35" s="506"/>
      <c r="E35" s="506"/>
      <c r="F35" s="506"/>
      <c r="G35" s="64">
        <f>SUM(G34)</f>
        <v>1000000</v>
      </c>
      <c r="H35" s="64">
        <f>SUM(H34)</f>
        <v>1000000</v>
      </c>
      <c r="I35" s="18">
        <f>SUM(I34)</f>
        <v>0</v>
      </c>
      <c r="J35" s="18">
        <f>SUM(J34)</f>
        <v>0</v>
      </c>
    </row>
    <row r="36" spans="1:10" ht="25.5">
      <c r="A36" s="13" t="s">
        <v>98</v>
      </c>
      <c r="B36" s="28" t="s">
        <v>214</v>
      </c>
      <c r="C36" s="506" t="s">
        <v>215</v>
      </c>
      <c r="D36" s="506"/>
      <c r="E36" s="506"/>
      <c r="F36" s="506"/>
      <c r="G36" s="64">
        <f>G15+G17+G22+G29+G31+G33+G35</f>
        <v>651246401.8775778</v>
      </c>
      <c r="H36" s="64">
        <f>H15+H17+H22+H29+H31+H33+H35</f>
        <v>621840327.5</v>
      </c>
      <c r="I36" s="18">
        <f>I15+I17+I22+I29+I31+I33+I35</f>
        <v>29406074.377577804</v>
      </c>
      <c r="J36" s="18">
        <f>J15+J17+J22+J29+J31+J33+J35</f>
        <v>0</v>
      </c>
    </row>
    <row r="37" spans="1:10" ht="15">
      <c r="A37" s="29"/>
      <c r="B37" s="2"/>
      <c r="C37" s="2"/>
      <c r="D37" s="2"/>
      <c r="E37" s="2"/>
      <c r="F37" s="2"/>
      <c r="G37" s="375"/>
      <c r="H37" s="375"/>
      <c r="I37" s="332"/>
      <c r="J37" s="332"/>
    </row>
    <row r="38" spans="1:10" ht="15">
      <c r="A38" s="523" t="s">
        <v>216</v>
      </c>
      <c r="B38" s="523"/>
      <c r="C38" s="523"/>
      <c r="D38" s="523"/>
      <c r="E38" s="523"/>
      <c r="F38" s="523"/>
      <c r="G38" s="523"/>
      <c r="H38" s="379"/>
      <c r="I38" s="339"/>
      <c r="J38" s="339"/>
    </row>
    <row r="39" spans="1:10" ht="15">
      <c r="A39" s="495" t="s">
        <v>3</v>
      </c>
      <c r="B39" s="496" t="s">
        <v>4</v>
      </c>
      <c r="C39" s="497" t="s">
        <v>5</v>
      </c>
      <c r="D39" s="497"/>
      <c r="E39" s="497"/>
      <c r="F39" s="497"/>
      <c r="G39" s="524" t="s">
        <v>144</v>
      </c>
      <c r="H39" s="375"/>
      <c r="I39" s="332"/>
      <c r="J39" s="332"/>
    </row>
    <row r="40" spans="1:10" ht="15">
      <c r="A40" s="495"/>
      <c r="B40" s="496"/>
      <c r="C40" s="497"/>
      <c r="D40" s="497"/>
      <c r="E40" s="497"/>
      <c r="F40" s="497"/>
      <c r="G40" s="524"/>
      <c r="H40" s="375"/>
      <c r="I40" s="332"/>
      <c r="J40" s="332"/>
    </row>
    <row r="41" spans="1:10" ht="25.5">
      <c r="A41" s="5" t="s">
        <v>101</v>
      </c>
      <c r="B41" s="19" t="s">
        <v>217</v>
      </c>
      <c r="C41" s="502" t="s">
        <v>218</v>
      </c>
      <c r="D41" s="502"/>
      <c r="E41" s="502"/>
      <c r="F41" s="502"/>
      <c r="G41" s="376">
        <f>214844947+465010+568455</f>
        <v>215878412</v>
      </c>
      <c r="H41" s="379"/>
      <c r="I41" s="339"/>
      <c r="J41" s="339"/>
    </row>
    <row r="42" spans="1:10" ht="15">
      <c r="A42" s="5" t="s">
        <v>104</v>
      </c>
      <c r="B42" s="19" t="s">
        <v>219</v>
      </c>
      <c r="C42" s="502" t="s">
        <v>220</v>
      </c>
      <c r="D42" s="502"/>
      <c r="E42" s="502"/>
      <c r="F42" s="502"/>
      <c r="G42" s="376"/>
      <c r="H42" s="379"/>
      <c r="I42" s="339"/>
      <c r="J42" s="339"/>
    </row>
    <row r="43" spans="1:10" ht="15">
      <c r="A43" s="5" t="s">
        <v>107</v>
      </c>
      <c r="B43" s="19" t="s">
        <v>221</v>
      </c>
      <c r="C43" s="503" t="s">
        <v>222</v>
      </c>
      <c r="D43" s="507"/>
      <c r="E43" s="507"/>
      <c r="F43" s="508"/>
      <c r="G43" s="376"/>
      <c r="H43" s="379"/>
      <c r="I43" s="339"/>
      <c r="J43" s="339"/>
    </row>
    <row r="44" spans="1:10" ht="15">
      <c r="A44" s="13" t="s">
        <v>110</v>
      </c>
      <c r="B44" s="28" t="s">
        <v>223</v>
      </c>
      <c r="C44" s="509" t="s">
        <v>224</v>
      </c>
      <c r="D44" s="510"/>
      <c r="E44" s="510"/>
      <c r="F44" s="511"/>
      <c r="G44" s="64">
        <f>SUM(G41:G43)</f>
        <v>215878412</v>
      </c>
      <c r="H44" s="379"/>
      <c r="I44" s="339"/>
      <c r="J44" s="339"/>
    </row>
    <row r="45" spans="1:10" ht="15">
      <c r="A45" s="36"/>
      <c r="B45" s="2"/>
      <c r="C45" s="2"/>
      <c r="D45" s="2"/>
      <c r="E45" s="2"/>
      <c r="F45" s="2"/>
      <c r="G45" s="375"/>
      <c r="H45" s="375"/>
      <c r="I45" s="332"/>
      <c r="J45" s="332"/>
    </row>
    <row r="46" spans="1:10" ht="15">
      <c r="A46" s="37"/>
      <c r="B46" s="38" t="s">
        <v>225</v>
      </c>
      <c r="C46" s="510"/>
      <c r="D46" s="510"/>
      <c r="E46" s="510"/>
      <c r="F46" s="510"/>
      <c r="G46" s="66">
        <f>G36+G44</f>
        <v>867124813.8775778</v>
      </c>
      <c r="H46" s="380">
        <f>G46-'önkorm. kiad'!G60</f>
        <v>-0.10956501960754395</v>
      </c>
      <c r="I46" s="332"/>
      <c r="J46" s="332"/>
    </row>
    <row r="47" spans="1:6" ht="15">
      <c r="A47" s="240"/>
      <c r="B47" s="240"/>
      <c r="C47" s="240"/>
      <c r="D47" s="240"/>
      <c r="E47" s="240"/>
      <c r="F47" s="240"/>
    </row>
    <row r="48" spans="1:6" ht="15">
      <c r="A48" s="240"/>
      <c r="B48" s="240"/>
      <c r="C48" s="240"/>
      <c r="D48" s="240"/>
      <c r="E48" s="240"/>
      <c r="F48" s="240"/>
    </row>
    <row r="49" spans="1:6" ht="15">
      <c r="A49" s="240"/>
      <c r="B49" s="240"/>
      <c r="C49" s="240"/>
      <c r="D49" s="240"/>
      <c r="E49" s="240"/>
      <c r="F49" s="240"/>
    </row>
    <row r="50" spans="1:6" ht="15">
      <c r="A50" s="240"/>
      <c r="B50" s="240"/>
      <c r="C50" s="240"/>
      <c r="D50" s="240"/>
      <c r="E50" s="240"/>
      <c r="F50" s="240"/>
    </row>
    <row r="51" spans="1:6" ht="15">
      <c r="A51" s="240"/>
      <c r="B51" s="240"/>
      <c r="C51" s="240"/>
      <c r="D51" s="240"/>
      <c r="E51" s="240"/>
      <c r="F51" s="240"/>
    </row>
    <row r="52" spans="1:6" ht="15">
      <c r="A52" s="240"/>
      <c r="B52" s="240"/>
      <c r="C52" s="240"/>
      <c r="D52" s="240"/>
      <c r="E52" s="240"/>
      <c r="F52" s="240"/>
    </row>
    <row r="53" spans="1:6" ht="15">
      <c r="A53" s="240"/>
      <c r="B53" s="240"/>
      <c r="C53" s="240"/>
      <c r="D53" s="240"/>
      <c r="E53" s="240"/>
      <c r="F53" s="240"/>
    </row>
  </sheetData>
  <sheetProtection/>
  <mergeCells count="48">
    <mergeCell ref="C14:F14"/>
    <mergeCell ref="C15:F15"/>
    <mergeCell ref="A1:J1"/>
    <mergeCell ref="A3:G3"/>
    <mergeCell ref="A4:G4"/>
    <mergeCell ref="A5:A6"/>
    <mergeCell ref="B5:B6"/>
    <mergeCell ref="C5:F6"/>
    <mergeCell ref="G5:G6"/>
    <mergeCell ref="H5:J5"/>
    <mergeCell ref="C7:F7"/>
    <mergeCell ref="C8:F8"/>
    <mergeCell ref="C9:F9"/>
    <mergeCell ref="C12:F12"/>
    <mergeCell ref="C13:F13"/>
    <mergeCell ref="C10:F10"/>
    <mergeCell ref="C11:F11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G39:G40"/>
    <mergeCell ref="C26:F26"/>
    <mergeCell ref="C27:F27"/>
    <mergeCell ref="C28:F28"/>
    <mergeCell ref="C29:F29"/>
    <mergeCell ref="C32:F32"/>
    <mergeCell ref="C33:F33"/>
    <mergeCell ref="C30:F30"/>
    <mergeCell ref="C31:F31"/>
    <mergeCell ref="C34:F34"/>
    <mergeCell ref="C41:F41"/>
    <mergeCell ref="C42:F42"/>
    <mergeCell ref="C44:F44"/>
    <mergeCell ref="C46:F46"/>
    <mergeCell ref="C35:F35"/>
    <mergeCell ref="C36:F36"/>
    <mergeCell ref="A38:G38"/>
    <mergeCell ref="A39:A40"/>
    <mergeCell ref="B39:B40"/>
    <mergeCell ref="C39:F40"/>
    <mergeCell ref="C43:F43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L48" sqref="L48"/>
    </sheetView>
  </sheetViews>
  <sheetFormatPr defaultColWidth="9.140625" defaultRowHeight="15"/>
  <cols>
    <col min="1" max="1" width="9.140625" style="382" customWidth="1"/>
    <col min="2" max="2" width="27.421875" style="382" customWidth="1"/>
    <col min="3" max="5" width="9.140625" style="382" customWidth="1"/>
    <col min="6" max="6" width="9.00390625" style="382" customWidth="1"/>
    <col min="7" max="7" width="15.8515625" style="382" customWidth="1"/>
    <col min="8" max="9" width="10.8515625" style="382" bestFit="1" customWidth="1"/>
    <col min="10" max="10" width="6.28125" style="382" bestFit="1" customWidth="1"/>
    <col min="11" max="12" width="10.8515625" style="382" bestFit="1" customWidth="1"/>
    <col min="13" max="13" width="11.8515625" style="382" bestFit="1" customWidth="1"/>
    <col min="14" max="14" width="12.140625" style="382" bestFit="1" customWidth="1"/>
    <col min="15" max="15" width="12.00390625" style="382" bestFit="1" customWidth="1"/>
    <col min="16" max="16384" width="9.140625" style="382" customWidth="1"/>
  </cols>
  <sheetData>
    <row r="1" spans="1:10" ht="12.75">
      <c r="A1" s="546" t="s">
        <v>0</v>
      </c>
      <c r="B1" s="546"/>
      <c r="C1" s="546"/>
      <c r="D1" s="546"/>
      <c r="E1" s="546"/>
      <c r="F1" s="546"/>
      <c r="G1" s="546"/>
      <c r="H1" s="546"/>
      <c r="I1" s="546"/>
      <c r="J1" s="546"/>
    </row>
    <row r="2" spans="1:10" ht="12.75">
      <c r="A2" s="331"/>
      <c r="B2" s="331"/>
      <c r="C2" s="331"/>
      <c r="D2" s="331"/>
      <c r="E2" s="331"/>
      <c r="F2" s="331"/>
      <c r="G2" s="331"/>
      <c r="H2" s="331"/>
      <c r="I2" s="332"/>
      <c r="J2" s="332"/>
    </row>
    <row r="3" spans="1:10" ht="12.75">
      <c r="A3" s="543" t="s">
        <v>1</v>
      </c>
      <c r="B3" s="543"/>
      <c r="C3" s="543"/>
      <c r="D3" s="543"/>
      <c r="E3" s="543"/>
      <c r="F3" s="543"/>
      <c r="G3" s="543"/>
      <c r="H3" s="543"/>
      <c r="I3" s="332"/>
      <c r="J3" s="332"/>
    </row>
    <row r="4" spans="1:10" ht="12.75">
      <c r="A4" s="544" t="s">
        <v>2</v>
      </c>
      <c r="B4" s="545"/>
      <c r="C4" s="545"/>
      <c r="D4" s="545"/>
      <c r="E4" s="545"/>
      <c r="F4" s="545"/>
      <c r="G4" s="545"/>
      <c r="H4" s="545"/>
      <c r="I4" s="332"/>
      <c r="J4" s="332"/>
    </row>
    <row r="5" spans="1:10" ht="12.75">
      <c r="A5" s="537" t="s">
        <v>3</v>
      </c>
      <c r="B5" s="538" t="s">
        <v>4</v>
      </c>
      <c r="C5" s="498" t="s">
        <v>5</v>
      </c>
      <c r="D5" s="498"/>
      <c r="E5" s="498"/>
      <c r="F5" s="498"/>
      <c r="G5" s="498" t="s">
        <v>6</v>
      </c>
      <c r="H5" s="499" t="s">
        <v>7</v>
      </c>
      <c r="I5" s="500"/>
      <c r="J5" s="501"/>
    </row>
    <row r="6" spans="1:15" ht="51">
      <c r="A6" s="537"/>
      <c r="B6" s="538"/>
      <c r="C6" s="498"/>
      <c r="D6" s="498"/>
      <c r="E6" s="498"/>
      <c r="F6" s="498"/>
      <c r="G6" s="498"/>
      <c r="H6" s="4" t="s">
        <v>8</v>
      </c>
      <c r="I6" s="4" t="s">
        <v>9</v>
      </c>
      <c r="J6" s="4" t="s">
        <v>10</v>
      </c>
      <c r="L6" s="394"/>
      <c r="M6" s="394"/>
      <c r="N6" s="394"/>
      <c r="O6" s="394"/>
    </row>
    <row r="7" spans="1:15" ht="25.5">
      <c r="A7" s="383" t="s">
        <v>11</v>
      </c>
      <c r="B7" s="384" t="s">
        <v>12</v>
      </c>
      <c r="C7" s="539" t="s">
        <v>13</v>
      </c>
      <c r="D7" s="539"/>
      <c r="E7" s="539"/>
      <c r="F7" s="539"/>
      <c r="G7" s="20">
        <f>'[6]Önk.j'!$F$213</f>
        <v>75091430</v>
      </c>
      <c r="H7" s="20">
        <f>G7</f>
        <v>75091430</v>
      </c>
      <c r="I7" s="198"/>
      <c r="J7" s="198"/>
      <c r="L7" s="395"/>
      <c r="M7" s="396"/>
      <c r="N7" s="396"/>
      <c r="O7" s="394"/>
    </row>
    <row r="8" spans="1:15" ht="12.75">
      <c r="A8" s="383" t="s">
        <v>14</v>
      </c>
      <c r="B8" s="384" t="s">
        <v>15</v>
      </c>
      <c r="C8" s="540" t="s">
        <v>16</v>
      </c>
      <c r="D8" s="541"/>
      <c r="E8" s="541"/>
      <c r="F8" s="542"/>
      <c r="G8" s="20">
        <f>'[6]Önk.j'!$F$235</f>
        <v>990000</v>
      </c>
      <c r="H8" s="20">
        <f aca="true" t="shared" si="0" ref="H8:H17">G8</f>
        <v>990000</v>
      </c>
      <c r="I8" s="198"/>
      <c r="J8" s="198"/>
      <c r="L8" s="397"/>
      <c r="M8" s="398"/>
      <c r="N8" s="398"/>
      <c r="O8" s="399"/>
    </row>
    <row r="9" spans="1:15" ht="38.25">
      <c r="A9" s="383" t="s">
        <v>17</v>
      </c>
      <c r="B9" s="384" t="s">
        <v>18</v>
      </c>
      <c r="C9" s="540" t="s">
        <v>19</v>
      </c>
      <c r="D9" s="541"/>
      <c r="E9" s="541"/>
      <c r="F9" s="542"/>
      <c r="G9" s="20">
        <v>0</v>
      </c>
      <c r="H9" s="20">
        <f t="shared" si="0"/>
        <v>0</v>
      </c>
      <c r="I9" s="198"/>
      <c r="J9" s="198"/>
      <c r="L9" s="398"/>
      <c r="M9" s="398"/>
      <c r="N9" s="398"/>
      <c r="O9" s="394"/>
    </row>
    <row r="10" spans="1:15" ht="12.75">
      <c r="A10" s="383" t="s">
        <v>20</v>
      </c>
      <c r="B10" s="384" t="s">
        <v>21</v>
      </c>
      <c r="C10" s="540" t="s">
        <v>22</v>
      </c>
      <c r="D10" s="541"/>
      <c r="E10" s="541"/>
      <c r="F10" s="542"/>
      <c r="G10" s="20">
        <f>'[6]Önk.j'!$F$233</f>
        <v>1044278</v>
      </c>
      <c r="H10" s="20">
        <f t="shared" si="0"/>
        <v>1044278</v>
      </c>
      <c r="I10" s="198"/>
      <c r="J10" s="198"/>
      <c r="L10" s="396"/>
      <c r="M10" s="398"/>
      <c r="N10" s="396"/>
      <c r="O10" s="394"/>
    </row>
    <row r="11" spans="1:15" ht="12.75">
      <c r="A11" s="383" t="s">
        <v>23</v>
      </c>
      <c r="B11" s="19" t="s">
        <v>24</v>
      </c>
      <c r="C11" s="539" t="s">
        <v>25</v>
      </c>
      <c r="D11" s="539"/>
      <c r="E11" s="539"/>
      <c r="F11" s="539"/>
      <c r="G11" s="20">
        <f>'[6]Önk.j'!$F$214</f>
        <v>1080000</v>
      </c>
      <c r="H11" s="20">
        <f t="shared" si="0"/>
        <v>1080000</v>
      </c>
      <c r="I11" s="198"/>
      <c r="J11" s="198"/>
      <c r="L11" s="396"/>
      <c r="M11" s="398"/>
      <c r="N11" s="400"/>
      <c r="O11" s="394"/>
    </row>
    <row r="12" spans="1:15" ht="12.75">
      <c r="A12" s="383" t="s">
        <v>26</v>
      </c>
      <c r="B12" s="19" t="s">
        <v>27</v>
      </c>
      <c r="C12" s="540" t="s">
        <v>28</v>
      </c>
      <c r="D12" s="541"/>
      <c r="E12" s="541"/>
      <c r="F12" s="542"/>
      <c r="G12" s="20">
        <v>0</v>
      </c>
      <c r="H12" s="20">
        <f t="shared" si="0"/>
        <v>0</v>
      </c>
      <c r="I12" s="198"/>
      <c r="J12" s="198"/>
      <c r="L12" s="394"/>
      <c r="M12" s="394"/>
      <c r="N12" s="394"/>
      <c r="O12" s="394"/>
    </row>
    <row r="13" spans="1:15" ht="12.75">
      <c r="A13" s="383" t="s">
        <v>29</v>
      </c>
      <c r="B13" s="19" t="s">
        <v>30</v>
      </c>
      <c r="C13" s="539" t="s">
        <v>31</v>
      </c>
      <c r="D13" s="539"/>
      <c r="E13" s="539"/>
      <c r="F13" s="539"/>
      <c r="G13" s="20">
        <f>'[6]Önk.j'!$F$215</f>
        <v>105000</v>
      </c>
      <c r="H13" s="20">
        <f t="shared" si="0"/>
        <v>105000</v>
      </c>
      <c r="I13" s="198"/>
      <c r="J13" s="198"/>
      <c r="L13" s="396"/>
      <c r="M13" s="400"/>
      <c r="N13" s="398"/>
      <c r="O13" s="394"/>
    </row>
    <row r="14" spans="1:15" ht="12.75">
      <c r="A14" s="383" t="s">
        <v>32</v>
      </c>
      <c r="B14" s="19" t="s">
        <v>33</v>
      </c>
      <c r="C14" s="540" t="s">
        <v>34</v>
      </c>
      <c r="D14" s="541"/>
      <c r="E14" s="541"/>
      <c r="F14" s="542"/>
      <c r="G14" s="20">
        <v>0</v>
      </c>
      <c r="H14" s="20">
        <f t="shared" si="0"/>
        <v>0</v>
      </c>
      <c r="I14" s="198"/>
      <c r="J14" s="198"/>
      <c r="L14" s="396"/>
      <c r="M14" s="396"/>
      <c r="N14" s="396"/>
      <c r="O14" s="394"/>
    </row>
    <row r="15" spans="1:14" ht="25.5">
      <c r="A15" s="383" t="s">
        <v>35</v>
      </c>
      <c r="B15" s="19" t="s">
        <v>36</v>
      </c>
      <c r="C15" s="540" t="s">
        <v>37</v>
      </c>
      <c r="D15" s="541"/>
      <c r="E15" s="541"/>
      <c r="F15" s="542"/>
      <c r="G15" s="20">
        <f>'[6]Önk.j'!$F$216</f>
        <v>0</v>
      </c>
      <c r="H15" s="20">
        <f t="shared" si="0"/>
        <v>0</v>
      </c>
      <c r="I15" s="198"/>
      <c r="J15" s="198"/>
      <c r="L15" s="332"/>
      <c r="M15" s="332"/>
      <c r="N15" s="332"/>
    </row>
    <row r="16" spans="1:15" ht="25.5">
      <c r="A16" s="383" t="s">
        <v>38</v>
      </c>
      <c r="B16" s="19" t="s">
        <v>39</v>
      </c>
      <c r="C16" s="539" t="s">
        <v>40</v>
      </c>
      <c r="D16" s="539"/>
      <c r="E16" s="539"/>
      <c r="F16" s="539"/>
      <c r="G16" s="20">
        <f>'[7]Önk.j'!$F$217</f>
        <v>23378060.5</v>
      </c>
      <c r="H16" s="20">
        <f t="shared" si="0"/>
        <v>23378060.5</v>
      </c>
      <c r="I16" s="198"/>
      <c r="J16" s="198"/>
      <c r="L16" s="332"/>
      <c r="M16" s="332"/>
      <c r="N16" s="332"/>
      <c r="O16" s="385"/>
    </row>
    <row r="17" spans="1:14" ht="51">
      <c r="A17" s="383" t="s">
        <v>41</v>
      </c>
      <c r="B17" s="19" t="s">
        <v>42</v>
      </c>
      <c r="C17" s="539" t="s">
        <v>43</v>
      </c>
      <c r="D17" s="539"/>
      <c r="E17" s="539"/>
      <c r="F17" s="539"/>
      <c r="G17" s="11">
        <f>'[6]Önk.j'!$F$218</f>
        <v>932000</v>
      </c>
      <c r="H17" s="20">
        <f t="shared" si="0"/>
        <v>932000</v>
      </c>
      <c r="I17" s="333"/>
      <c r="J17" s="333"/>
      <c r="L17" s="332"/>
      <c r="M17" s="332"/>
      <c r="N17" s="332"/>
    </row>
    <row r="18" spans="1:14" ht="25.5">
      <c r="A18" s="383" t="s">
        <v>44</v>
      </c>
      <c r="B18" s="19" t="s">
        <v>45</v>
      </c>
      <c r="C18" s="528" t="s">
        <v>46</v>
      </c>
      <c r="D18" s="528"/>
      <c r="E18" s="528"/>
      <c r="F18" s="528"/>
      <c r="G18" s="20">
        <f>'[6]Önk.j'!$F$219</f>
        <v>400000</v>
      </c>
      <c r="H18" s="20">
        <f>G18</f>
        <v>400000</v>
      </c>
      <c r="I18" s="198"/>
      <c r="J18" s="198"/>
      <c r="L18" s="332"/>
      <c r="M18" s="332"/>
      <c r="N18" s="332"/>
    </row>
    <row r="19" spans="1:14" ht="12.75">
      <c r="A19" s="386" t="s">
        <v>47</v>
      </c>
      <c r="B19" s="28" t="s">
        <v>48</v>
      </c>
      <c r="C19" s="535" t="s">
        <v>49</v>
      </c>
      <c r="D19" s="535"/>
      <c r="E19" s="535"/>
      <c r="F19" s="535"/>
      <c r="G19" s="334">
        <f>SUM(G7:G18)</f>
        <v>103020768.5</v>
      </c>
      <c r="H19" s="334">
        <f>SUM(H7:H18)</f>
        <v>103020768.5</v>
      </c>
      <c r="I19" s="335"/>
      <c r="J19" s="336"/>
      <c r="L19" s="339"/>
      <c r="M19" s="332"/>
      <c r="N19" s="339"/>
    </row>
    <row r="20" spans="1:14" ht="38.25">
      <c r="A20" s="386" t="s">
        <v>50</v>
      </c>
      <c r="B20" s="28" t="s">
        <v>51</v>
      </c>
      <c r="C20" s="535" t="s">
        <v>52</v>
      </c>
      <c r="D20" s="535"/>
      <c r="E20" s="535"/>
      <c r="F20" s="535"/>
      <c r="G20" s="18">
        <f>'[7]Önk.j'!$F$220</f>
        <v>12141818.080000002</v>
      </c>
      <c r="H20" s="18">
        <v>11733757</v>
      </c>
      <c r="I20" s="336"/>
      <c r="J20" s="336"/>
      <c r="L20" s="332"/>
      <c r="M20" s="332"/>
      <c r="N20" s="332"/>
    </row>
    <row r="21" spans="1:14" ht="25.5">
      <c r="A21" s="383" t="s">
        <v>53</v>
      </c>
      <c r="B21" s="19" t="s">
        <v>54</v>
      </c>
      <c r="C21" s="528" t="s">
        <v>55</v>
      </c>
      <c r="D21" s="528"/>
      <c r="E21" s="528"/>
      <c r="F21" s="528"/>
      <c r="G21" s="20">
        <f>'[6]Önk.j'!$F$221</f>
        <v>220000</v>
      </c>
      <c r="H21" s="20">
        <f>G21</f>
        <v>220000</v>
      </c>
      <c r="I21" s="198"/>
      <c r="J21" s="198"/>
      <c r="L21" s="339"/>
      <c r="M21" s="332"/>
      <c r="N21" s="339"/>
    </row>
    <row r="22" spans="1:14" ht="25.5">
      <c r="A22" s="383" t="s">
        <v>56</v>
      </c>
      <c r="B22" s="19" t="s">
        <v>57</v>
      </c>
      <c r="C22" s="529" t="s">
        <v>58</v>
      </c>
      <c r="D22" s="530"/>
      <c r="E22" s="530"/>
      <c r="F22" s="531"/>
      <c r="G22" s="20">
        <v>25000000</v>
      </c>
      <c r="H22" s="20">
        <f aca="true" t="shared" si="1" ref="H22:H32">G22</f>
        <v>25000000</v>
      </c>
      <c r="I22" s="198"/>
      <c r="J22" s="198"/>
      <c r="L22" s="339"/>
      <c r="M22" s="332"/>
      <c r="N22" s="339"/>
    </row>
    <row r="23" spans="1:14" ht="25.5">
      <c r="A23" s="383" t="s">
        <v>59</v>
      </c>
      <c r="B23" s="19" t="s">
        <v>60</v>
      </c>
      <c r="C23" s="528" t="s">
        <v>61</v>
      </c>
      <c r="D23" s="528"/>
      <c r="E23" s="528"/>
      <c r="F23" s="528"/>
      <c r="G23" s="20">
        <f>'[6]Önk.j'!$F$223</f>
        <v>860000</v>
      </c>
      <c r="H23" s="20">
        <f t="shared" si="1"/>
        <v>860000</v>
      </c>
      <c r="I23" s="198"/>
      <c r="J23" s="198"/>
      <c r="L23" s="332"/>
      <c r="M23" s="332"/>
      <c r="N23" s="332"/>
    </row>
    <row r="24" spans="1:14" ht="25.5">
      <c r="A24" s="383" t="s">
        <v>62</v>
      </c>
      <c r="B24" s="19" t="s">
        <v>63</v>
      </c>
      <c r="C24" s="528" t="s">
        <v>64</v>
      </c>
      <c r="D24" s="528"/>
      <c r="E24" s="528"/>
      <c r="F24" s="528"/>
      <c r="G24" s="20">
        <f>'[6]Önk.j'!$F$224</f>
        <v>926000</v>
      </c>
      <c r="H24" s="20">
        <f t="shared" si="1"/>
        <v>926000</v>
      </c>
      <c r="I24" s="198"/>
      <c r="J24" s="198"/>
      <c r="L24" s="332"/>
      <c r="M24" s="332"/>
      <c r="N24" s="332"/>
    </row>
    <row r="25" spans="1:14" ht="12.75">
      <c r="A25" s="383" t="s">
        <v>65</v>
      </c>
      <c r="B25" s="19" t="s">
        <v>66</v>
      </c>
      <c r="C25" s="528" t="s">
        <v>67</v>
      </c>
      <c r="D25" s="528"/>
      <c r="E25" s="528"/>
      <c r="F25" s="528"/>
      <c r="G25" s="20">
        <f>'[6]Önk.j'!$F$225</f>
        <v>19870000</v>
      </c>
      <c r="H25" s="20">
        <f t="shared" si="1"/>
        <v>19870000</v>
      </c>
      <c r="I25" s="198"/>
      <c r="J25" s="198"/>
      <c r="L25" s="332"/>
      <c r="M25" s="264"/>
      <c r="N25" s="332"/>
    </row>
    <row r="26" spans="1:14" ht="25.5">
      <c r="A26" s="383" t="s">
        <v>68</v>
      </c>
      <c r="B26" s="19" t="s">
        <v>69</v>
      </c>
      <c r="C26" s="528" t="s">
        <v>70</v>
      </c>
      <c r="D26" s="528"/>
      <c r="E26" s="528"/>
      <c r="F26" s="528"/>
      <c r="G26" s="20">
        <f>'[6]Önk.j'!$F$226</f>
        <v>1050000</v>
      </c>
      <c r="H26" s="20">
        <f t="shared" si="1"/>
        <v>1050000</v>
      </c>
      <c r="I26" s="198"/>
      <c r="J26" s="198"/>
      <c r="L26" s="332"/>
      <c r="M26" s="263"/>
      <c r="N26" s="332"/>
    </row>
    <row r="27" spans="1:14" ht="12.75">
      <c r="A27" s="383" t="s">
        <v>71</v>
      </c>
      <c r="B27" s="19" t="s">
        <v>72</v>
      </c>
      <c r="C27" s="529" t="s">
        <v>73</v>
      </c>
      <c r="D27" s="530"/>
      <c r="E27" s="530"/>
      <c r="F27" s="531"/>
      <c r="G27" s="20">
        <f>'[6]Önk.j'!$F$234</f>
        <v>1200000</v>
      </c>
      <c r="H27" s="20">
        <f t="shared" si="1"/>
        <v>1200000</v>
      </c>
      <c r="I27" s="198"/>
      <c r="J27" s="198"/>
      <c r="L27" s="332"/>
      <c r="M27" s="263"/>
      <c r="N27" s="332"/>
    </row>
    <row r="28" spans="1:10" ht="25.5">
      <c r="A28" s="383" t="s">
        <v>74</v>
      </c>
      <c r="B28" s="19" t="s">
        <v>75</v>
      </c>
      <c r="C28" s="528" t="s">
        <v>76</v>
      </c>
      <c r="D28" s="528"/>
      <c r="E28" s="528"/>
      <c r="F28" s="528"/>
      <c r="G28" s="20">
        <f>'[7]Önk.j'!$F$227</f>
        <v>16975000</v>
      </c>
      <c r="H28" s="20">
        <f t="shared" si="1"/>
        <v>16975000</v>
      </c>
      <c r="I28" s="198"/>
      <c r="J28" s="198"/>
    </row>
    <row r="29" spans="1:10" ht="12.75">
      <c r="A29" s="383" t="s">
        <v>77</v>
      </c>
      <c r="B29" s="19" t="s">
        <v>78</v>
      </c>
      <c r="C29" s="528" t="s">
        <v>79</v>
      </c>
      <c r="D29" s="528"/>
      <c r="E29" s="528"/>
      <c r="F29" s="528"/>
      <c r="G29" s="20">
        <f>'[6]Önk.j'!$F$228</f>
        <v>22568488</v>
      </c>
      <c r="H29" s="20">
        <f t="shared" si="1"/>
        <v>22568488</v>
      </c>
      <c r="I29" s="198"/>
      <c r="J29" s="198"/>
    </row>
    <row r="30" spans="1:10" ht="12.75">
      <c r="A30" s="383" t="s">
        <v>80</v>
      </c>
      <c r="B30" s="19" t="s">
        <v>81</v>
      </c>
      <c r="C30" s="529" t="s">
        <v>82</v>
      </c>
      <c r="D30" s="530"/>
      <c r="E30" s="530"/>
      <c r="F30" s="531"/>
      <c r="G30" s="20">
        <v>0</v>
      </c>
      <c r="H30" s="20">
        <f t="shared" si="1"/>
        <v>0</v>
      </c>
      <c r="I30" s="198"/>
      <c r="J30" s="198"/>
    </row>
    <row r="31" spans="1:10" ht="38.25">
      <c r="A31" s="383" t="s">
        <v>83</v>
      </c>
      <c r="B31" s="19" t="s">
        <v>84</v>
      </c>
      <c r="C31" s="528" t="s">
        <v>85</v>
      </c>
      <c r="D31" s="528"/>
      <c r="E31" s="528"/>
      <c r="F31" s="528"/>
      <c r="G31" s="20">
        <f>'[6]Önk.j'!$F$229</f>
        <v>17081437</v>
      </c>
      <c r="H31" s="20">
        <f t="shared" si="1"/>
        <v>17081437</v>
      </c>
      <c r="I31" s="198"/>
      <c r="J31" s="198"/>
    </row>
    <row r="32" spans="1:10" ht="25.5">
      <c r="A32" s="383" t="s">
        <v>86</v>
      </c>
      <c r="B32" s="19" t="s">
        <v>87</v>
      </c>
      <c r="C32" s="528" t="s">
        <v>88</v>
      </c>
      <c r="D32" s="528"/>
      <c r="E32" s="528"/>
      <c r="F32" s="528"/>
      <c r="G32" s="11">
        <v>2000000</v>
      </c>
      <c r="H32" s="20">
        <f t="shared" si="1"/>
        <v>2000000</v>
      </c>
      <c r="I32" s="198"/>
      <c r="J32" s="198"/>
    </row>
    <row r="33" spans="1:10" ht="12.75">
      <c r="A33" s="386" t="s">
        <v>89</v>
      </c>
      <c r="B33" s="28" t="s">
        <v>90</v>
      </c>
      <c r="C33" s="535" t="s">
        <v>91</v>
      </c>
      <c r="D33" s="535"/>
      <c r="E33" s="535"/>
      <c r="F33" s="535"/>
      <c r="G33" s="18">
        <f>SUM(G21:G32)</f>
        <v>107750925</v>
      </c>
      <c r="H33" s="18">
        <f>SUM(H21:H32)</f>
        <v>107750925</v>
      </c>
      <c r="I33" s="18">
        <f>SUM(I21:I32)</f>
        <v>0</v>
      </c>
      <c r="J33" s="18">
        <f>SUM(J21:J32)</f>
        <v>0</v>
      </c>
    </row>
    <row r="34" spans="1:10" ht="25.5">
      <c r="A34" s="383" t="s">
        <v>92</v>
      </c>
      <c r="B34" s="19" t="s">
        <v>93</v>
      </c>
      <c r="C34" s="529" t="s">
        <v>94</v>
      </c>
      <c r="D34" s="530"/>
      <c r="E34" s="530"/>
      <c r="F34" s="531"/>
      <c r="G34" s="11">
        <v>0</v>
      </c>
      <c r="H34" s="11"/>
      <c r="I34" s="198"/>
      <c r="J34" s="198"/>
    </row>
    <row r="35" spans="1:10" ht="25.5">
      <c r="A35" s="383" t="s">
        <v>95</v>
      </c>
      <c r="B35" s="19" t="s">
        <v>96</v>
      </c>
      <c r="C35" s="529" t="s">
        <v>97</v>
      </c>
      <c r="D35" s="530"/>
      <c r="E35" s="530"/>
      <c r="F35" s="531"/>
      <c r="G35" s="11">
        <v>12000000</v>
      </c>
      <c r="H35" s="11">
        <f>G35</f>
        <v>12000000</v>
      </c>
      <c r="I35" s="198"/>
      <c r="J35" s="198"/>
    </row>
    <row r="36" spans="1:10" ht="25.5">
      <c r="A36" s="386" t="s">
        <v>98</v>
      </c>
      <c r="B36" s="28" t="s">
        <v>99</v>
      </c>
      <c r="C36" s="532" t="s">
        <v>100</v>
      </c>
      <c r="D36" s="533"/>
      <c r="E36" s="533"/>
      <c r="F36" s="534"/>
      <c r="G36" s="18">
        <f>SUM(G34:G35)</f>
        <v>12000000</v>
      </c>
      <c r="H36" s="18">
        <f>SUM(H35)</f>
        <v>12000000</v>
      </c>
      <c r="I36" s="18">
        <f>SUM(I35)</f>
        <v>0</v>
      </c>
      <c r="J36" s="18">
        <f>SUM(J35)</f>
        <v>0</v>
      </c>
    </row>
    <row r="37" spans="1:10" ht="38.25">
      <c r="A37" s="383" t="s">
        <v>101</v>
      </c>
      <c r="B37" s="19" t="s">
        <v>102</v>
      </c>
      <c r="C37" s="529" t="s">
        <v>103</v>
      </c>
      <c r="D37" s="530"/>
      <c r="E37" s="530"/>
      <c r="F37" s="531"/>
      <c r="G37" s="11">
        <v>1650000</v>
      </c>
      <c r="H37" s="11">
        <v>0</v>
      </c>
      <c r="I37" s="11">
        <f aca="true" t="shared" si="2" ref="I37:I44">G37</f>
        <v>1650000</v>
      </c>
      <c r="J37" s="198"/>
    </row>
    <row r="38" spans="1:10" ht="38.25">
      <c r="A38" s="383" t="s">
        <v>104</v>
      </c>
      <c r="B38" s="19" t="s">
        <v>105</v>
      </c>
      <c r="C38" s="529" t="s">
        <v>106</v>
      </c>
      <c r="D38" s="530"/>
      <c r="E38" s="530"/>
      <c r="F38" s="531"/>
      <c r="G38" s="11">
        <v>26000000</v>
      </c>
      <c r="H38" s="11">
        <v>0</v>
      </c>
      <c r="I38" s="11">
        <f t="shared" si="2"/>
        <v>26000000</v>
      </c>
      <c r="J38" s="198"/>
    </row>
    <row r="39" spans="1:12" ht="12.75">
      <c r="A39" s="383" t="s">
        <v>107</v>
      </c>
      <c r="B39" s="19" t="s">
        <v>108</v>
      </c>
      <c r="C39" s="529" t="s">
        <v>109</v>
      </c>
      <c r="D39" s="530"/>
      <c r="E39" s="530"/>
      <c r="F39" s="531"/>
      <c r="G39" s="11">
        <v>18820848</v>
      </c>
      <c r="H39" s="11">
        <v>0</v>
      </c>
      <c r="I39" s="11">
        <f t="shared" si="2"/>
        <v>18820848</v>
      </c>
      <c r="J39" s="198"/>
      <c r="L39" s="387">
        <f>I60</f>
        <v>0.10956501960754395</v>
      </c>
    </row>
    <row r="40" spans="1:10" ht="25.5">
      <c r="A40" s="386" t="s">
        <v>110</v>
      </c>
      <c r="B40" s="388" t="s">
        <v>111</v>
      </c>
      <c r="C40" s="532" t="s">
        <v>112</v>
      </c>
      <c r="D40" s="533"/>
      <c r="E40" s="533"/>
      <c r="F40" s="534"/>
      <c r="G40" s="18">
        <f>SUM(G37:G39)</f>
        <v>46470848</v>
      </c>
      <c r="H40" s="18"/>
      <c r="I40" s="18">
        <f t="shared" si="2"/>
        <v>46470848</v>
      </c>
      <c r="J40" s="18"/>
    </row>
    <row r="41" spans="1:10" ht="25.5">
      <c r="A41" s="383" t="s">
        <v>113</v>
      </c>
      <c r="B41" s="389" t="s">
        <v>114</v>
      </c>
      <c r="C41" s="529" t="s">
        <v>115</v>
      </c>
      <c r="D41" s="530"/>
      <c r="E41" s="530"/>
      <c r="F41" s="531"/>
      <c r="G41" s="11">
        <f>'[9]Beruházás'!$E$48+15000000</f>
        <v>70670636</v>
      </c>
      <c r="H41" s="11"/>
      <c r="I41" s="11">
        <f>G41</f>
        <v>70670636</v>
      </c>
      <c r="J41" s="47"/>
    </row>
    <row r="42" spans="1:10" ht="25.5">
      <c r="A42" s="383" t="s">
        <v>116</v>
      </c>
      <c r="B42" s="389" t="s">
        <v>235</v>
      </c>
      <c r="C42" s="547" t="s">
        <v>236</v>
      </c>
      <c r="D42" s="548"/>
      <c r="E42" s="548"/>
      <c r="F42" s="549"/>
      <c r="G42" s="26">
        <f>0</f>
        <v>0</v>
      </c>
      <c r="H42" s="26">
        <v>0</v>
      </c>
      <c r="I42" s="337">
        <f t="shared" si="2"/>
        <v>0</v>
      </c>
      <c r="J42" s="198"/>
    </row>
    <row r="43" spans="1:12" ht="25.5">
      <c r="A43" s="383" t="s">
        <v>119</v>
      </c>
      <c r="B43" s="19" t="s">
        <v>117</v>
      </c>
      <c r="C43" s="529" t="s">
        <v>118</v>
      </c>
      <c r="D43" s="530"/>
      <c r="E43" s="530"/>
      <c r="F43" s="531"/>
      <c r="G43" s="11">
        <f>'[9]Beruházás'!$E$49</f>
        <v>23838202.913385827</v>
      </c>
      <c r="H43" s="11">
        <v>0</v>
      </c>
      <c r="I43" s="337">
        <f t="shared" si="2"/>
        <v>23838202.913385827</v>
      </c>
      <c r="J43" s="198"/>
      <c r="L43" s="387"/>
    </row>
    <row r="44" spans="1:10" ht="38.25">
      <c r="A44" s="383" t="s">
        <v>122</v>
      </c>
      <c r="B44" s="19" t="s">
        <v>120</v>
      </c>
      <c r="C44" s="529" t="s">
        <v>121</v>
      </c>
      <c r="D44" s="530"/>
      <c r="E44" s="530"/>
      <c r="F44" s="531"/>
      <c r="G44" s="11">
        <f>'[9]Beruházás'!$E$50</f>
        <v>48631206.50661418</v>
      </c>
      <c r="H44" s="11">
        <v>0</v>
      </c>
      <c r="I44" s="337">
        <f t="shared" si="2"/>
        <v>48631206.50661418</v>
      </c>
      <c r="J44" s="198"/>
    </row>
    <row r="45" spans="1:12" ht="12.75">
      <c r="A45" s="390" t="s">
        <v>125</v>
      </c>
      <c r="B45" s="28" t="s">
        <v>123</v>
      </c>
      <c r="C45" s="532" t="s">
        <v>124</v>
      </c>
      <c r="D45" s="533"/>
      <c r="E45" s="533"/>
      <c r="F45" s="534"/>
      <c r="G45" s="18">
        <f>SUM(G41:G44)</f>
        <v>143140045.42000002</v>
      </c>
      <c r="H45" s="18">
        <f>SUM(H42:H44)</f>
        <v>0</v>
      </c>
      <c r="I45" s="18">
        <f>SUM(I41:I44)</f>
        <v>143140045.42000002</v>
      </c>
      <c r="J45" s="18"/>
      <c r="L45" s="387"/>
    </row>
    <row r="46" spans="1:10" ht="12.75">
      <c r="A46" s="383" t="s">
        <v>128</v>
      </c>
      <c r="B46" s="19" t="s">
        <v>126</v>
      </c>
      <c r="C46" s="529" t="s">
        <v>127</v>
      </c>
      <c r="D46" s="530"/>
      <c r="E46" s="530"/>
      <c r="F46" s="531"/>
      <c r="G46" s="11">
        <f>'[9]Beruházás'!$E$51+2785000</f>
        <v>25439766.320584927</v>
      </c>
      <c r="H46" s="11"/>
      <c r="I46" s="337">
        <f>G46</f>
        <v>25439766.320584927</v>
      </c>
      <c r="J46" s="198"/>
    </row>
    <row r="47" spans="1:10" ht="38.25">
      <c r="A47" s="383" t="s">
        <v>131</v>
      </c>
      <c r="B47" s="19" t="s">
        <v>129</v>
      </c>
      <c r="C47" s="529" t="s">
        <v>130</v>
      </c>
      <c r="D47" s="530"/>
      <c r="E47" s="530"/>
      <c r="F47" s="531"/>
      <c r="G47" s="11">
        <f>'[9]Beruházás'!$E$52</f>
        <v>5981786.906557931</v>
      </c>
      <c r="H47" s="11"/>
      <c r="I47" s="337">
        <f>G47</f>
        <v>5981786.906557931</v>
      </c>
      <c r="J47" s="198"/>
    </row>
    <row r="48" spans="1:12" ht="12.75">
      <c r="A48" s="390" t="s">
        <v>134</v>
      </c>
      <c r="B48" s="28" t="s">
        <v>132</v>
      </c>
      <c r="C48" s="532" t="s">
        <v>133</v>
      </c>
      <c r="D48" s="533"/>
      <c r="E48" s="533"/>
      <c r="F48" s="534"/>
      <c r="G48" s="18">
        <f>SUM(G46:G47)</f>
        <v>31421553.227142856</v>
      </c>
      <c r="H48" s="18">
        <f>SUM(H46:H47)</f>
        <v>0</v>
      </c>
      <c r="I48" s="18">
        <f>SUM(I46:I47)</f>
        <v>31421553.227142856</v>
      </c>
      <c r="J48" s="18">
        <f>SUM(J46:J47)</f>
        <v>0</v>
      </c>
      <c r="L48" s="387"/>
    </row>
    <row r="49" spans="1:10" ht="51">
      <c r="A49" s="383" t="s">
        <v>137</v>
      </c>
      <c r="B49" s="19" t="s">
        <v>135</v>
      </c>
      <c r="C49" s="529" t="s">
        <v>136</v>
      </c>
      <c r="D49" s="530"/>
      <c r="E49" s="530"/>
      <c r="F49" s="531"/>
      <c r="G49" s="11">
        <f>'[1]Támogatás'!$D$52</f>
        <v>6000000</v>
      </c>
      <c r="H49" s="11">
        <f>G49</f>
        <v>6000000</v>
      </c>
      <c r="I49" s="198"/>
      <c r="J49" s="198"/>
    </row>
    <row r="50" spans="1:10" ht="25.5">
      <c r="A50" s="390" t="s">
        <v>140</v>
      </c>
      <c r="B50" s="28" t="s">
        <v>138</v>
      </c>
      <c r="C50" s="532" t="s">
        <v>139</v>
      </c>
      <c r="D50" s="533"/>
      <c r="E50" s="533"/>
      <c r="F50" s="534"/>
      <c r="G50" s="18">
        <f>SUM(G49)</f>
        <v>6000000</v>
      </c>
      <c r="H50" s="18">
        <f>SUM(H49)</f>
        <v>6000000</v>
      </c>
      <c r="I50" s="18">
        <f>SUM(I49)</f>
        <v>0</v>
      </c>
      <c r="J50" s="18">
        <f>SUM(J49)</f>
        <v>0</v>
      </c>
    </row>
    <row r="51" spans="1:10" ht="12.75">
      <c r="A51" s="390" t="s">
        <v>147</v>
      </c>
      <c r="B51" s="28" t="s">
        <v>141</v>
      </c>
      <c r="C51" s="535" t="s">
        <v>142</v>
      </c>
      <c r="D51" s="535"/>
      <c r="E51" s="535"/>
      <c r="F51" s="535"/>
      <c r="G51" s="18">
        <f>G19+G20+G33+G36+G40+G45+G48+G50</f>
        <v>461945958.2271429</v>
      </c>
      <c r="H51" s="18">
        <f>H19+H20+H33+H36+H40+H45+H48+H50</f>
        <v>240505450.5</v>
      </c>
      <c r="I51" s="18">
        <f>I19+I20+I33+I36+I40+I45+I48+I50</f>
        <v>221032446.6471429</v>
      </c>
      <c r="J51" s="18">
        <f>J19+J20+J33+J36+J40+J45+J48+J50</f>
        <v>0</v>
      </c>
    </row>
    <row r="52" spans="1:10" ht="12.75">
      <c r="A52" s="391"/>
      <c r="B52" s="332"/>
      <c r="C52" s="332"/>
      <c r="D52" s="332"/>
      <c r="E52" s="332"/>
      <c r="F52" s="332"/>
      <c r="G52" s="338"/>
      <c r="H52" s="338"/>
      <c r="I52" s="332"/>
      <c r="J52" s="332"/>
    </row>
    <row r="53" spans="1:10" ht="12.75">
      <c r="A53" s="536" t="s">
        <v>143</v>
      </c>
      <c r="B53" s="536"/>
      <c r="C53" s="536"/>
      <c r="D53" s="536"/>
      <c r="E53" s="536"/>
      <c r="F53" s="536"/>
      <c r="G53" s="536"/>
      <c r="H53" s="536"/>
      <c r="I53" s="339"/>
      <c r="J53" s="339"/>
    </row>
    <row r="54" spans="1:12" ht="12.75">
      <c r="A54" s="537" t="s">
        <v>3</v>
      </c>
      <c r="B54" s="538" t="s">
        <v>4</v>
      </c>
      <c r="C54" s="498" t="s">
        <v>5</v>
      </c>
      <c r="D54" s="498"/>
      <c r="E54" s="498"/>
      <c r="F54" s="498"/>
      <c r="G54" s="498" t="s">
        <v>144</v>
      </c>
      <c r="H54" s="373"/>
      <c r="I54" s="332"/>
      <c r="J54" s="332"/>
      <c r="L54" s="387"/>
    </row>
    <row r="55" spans="1:10" ht="12.75">
      <c r="A55" s="537"/>
      <c r="B55" s="538"/>
      <c r="C55" s="498"/>
      <c r="D55" s="498"/>
      <c r="E55" s="498"/>
      <c r="F55" s="498"/>
      <c r="G55" s="498"/>
      <c r="H55" s="372"/>
      <c r="I55" s="332"/>
      <c r="J55" s="332"/>
    </row>
    <row r="56" spans="1:11" ht="38.25">
      <c r="A56" s="383" t="s">
        <v>140</v>
      </c>
      <c r="B56" s="19" t="s">
        <v>145</v>
      </c>
      <c r="C56" s="528" t="s">
        <v>146</v>
      </c>
      <c r="D56" s="528"/>
      <c r="E56" s="528"/>
      <c r="F56" s="528"/>
      <c r="G56" s="20">
        <v>17096991</v>
      </c>
      <c r="H56" s="20">
        <v>17096991</v>
      </c>
      <c r="I56" s="339"/>
      <c r="J56" s="339"/>
      <c r="K56" s="387"/>
    </row>
    <row r="57" spans="1:10" ht="25.5">
      <c r="A57" s="383" t="s">
        <v>147</v>
      </c>
      <c r="B57" s="19" t="s">
        <v>148</v>
      </c>
      <c r="C57" s="528" t="s">
        <v>149</v>
      </c>
      <c r="D57" s="528"/>
      <c r="E57" s="528"/>
      <c r="F57" s="528"/>
      <c r="G57" s="20">
        <f>'Hivatal bevétel'!G43+'Óvoda bev.'!G43+'Könyvtár bev.'!G43</f>
        <v>388081864.76</v>
      </c>
      <c r="H57" s="20">
        <f>G57</f>
        <v>388081864.76</v>
      </c>
      <c r="I57" s="340"/>
      <c r="J57" s="339"/>
    </row>
    <row r="58" spans="1:10" ht="12.75">
      <c r="A58" s="386" t="s">
        <v>150</v>
      </c>
      <c r="B58" s="28" t="s">
        <v>151</v>
      </c>
      <c r="C58" s="535" t="s">
        <v>152</v>
      </c>
      <c r="D58" s="535"/>
      <c r="E58" s="535"/>
      <c r="F58" s="535"/>
      <c r="G58" s="18">
        <f>SUM(G56:G57)</f>
        <v>405178855.76</v>
      </c>
      <c r="H58" s="18">
        <f>SUM(H56:H57)</f>
        <v>405178855.76</v>
      </c>
      <c r="I58" s="339"/>
      <c r="J58" s="339"/>
    </row>
    <row r="59" spans="1:10" ht="12.75">
      <c r="A59" s="392"/>
      <c r="B59" s="332"/>
      <c r="C59" s="332"/>
      <c r="D59" s="332"/>
      <c r="E59" s="332"/>
      <c r="F59" s="332"/>
      <c r="G59" s="338"/>
      <c r="H59" s="338"/>
      <c r="I59" s="332"/>
      <c r="J59" s="332"/>
    </row>
    <row r="60" spans="1:10" ht="12.75">
      <c r="A60" s="393"/>
      <c r="B60" s="38" t="s">
        <v>153</v>
      </c>
      <c r="C60" s="533"/>
      <c r="D60" s="533"/>
      <c r="E60" s="533"/>
      <c r="F60" s="533"/>
      <c r="G60" s="39">
        <f>G51+G58</f>
        <v>867124813.9871428</v>
      </c>
      <c r="H60" s="39"/>
      <c r="I60" s="341">
        <f>G60-'önkorm.bev'!G46</f>
        <v>0.10956501960754395</v>
      </c>
      <c r="J60" s="332"/>
    </row>
    <row r="61" ht="12.75"/>
  </sheetData>
  <sheetProtection/>
  <mergeCells count="62">
    <mergeCell ref="A1:J1"/>
    <mergeCell ref="C39:F39"/>
    <mergeCell ref="C40:F40"/>
    <mergeCell ref="C48:F48"/>
    <mergeCell ref="C14:F14"/>
    <mergeCell ref="C15:F15"/>
    <mergeCell ref="C22:F22"/>
    <mergeCell ref="C27:F27"/>
    <mergeCell ref="C42:F42"/>
    <mergeCell ref="C45:F45"/>
    <mergeCell ref="C46:F46"/>
    <mergeCell ref="C47:F47"/>
    <mergeCell ref="C30:F30"/>
    <mergeCell ref="C34:F34"/>
    <mergeCell ref="C32:F32"/>
    <mergeCell ref="C33:F33"/>
    <mergeCell ref="C41:F41"/>
    <mergeCell ref="C19:F19"/>
    <mergeCell ref="C20:F20"/>
    <mergeCell ref="C21:F21"/>
    <mergeCell ref="C23:F23"/>
    <mergeCell ref="C24:F24"/>
    <mergeCell ref="C25:F25"/>
    <mergeCell ref="C26:F26"/>
    <mergeCell ref="C28:F28"/>
    <mergeCell ref="A3:H3"/>
    <mergeCell ref="A4:H4"/>
    <mergeCell ref="A5:A6"/>
    <mergeCell ref="B5:B6"/>
    <mergeCell ref="C5:F6"/>
    <mergeCell ref="G5:G6"/>
    <mergeCell ref="H5:J5"/>
    <mergeCell ref="C7:F7"/>
    <mergeCell ref="C11:F11"/>
    <mergeCell ref="C13:F13"/>
    <mergeCell ref="C16:F16"/>
    <mergeCell ref="C17:F17"/>
    <mergeCell ref="C18:F18"/>
    <mergeCell ref="C8:F8"/>
    <mergeCell ref="C9:F9"/>
    <mergeCell ref="C10:F10"/>
    <mergeCell ref="C12:F12"/>
    <mergeCell ref="C29:F29"/>
    <mergeCell ref="C31:F31"/>
    <mergeCell ref="C58:F58"/>
    <mergeCell ref="C60:F60"/>
    <mergeCell ref="C51:F51"/>
    <mergeCell ref="A53:H53"/>
    <mergeCell ref="A54:A55"/>
    <mergeCell ref="B54:B55"/>
    <mergeCell ref="C54:F55"/>
    <mergeCell ref="G54:G55"/>
    <mergeCell ref="C56:F56"/>
    <mergeCell ref="C57:F57"/>
    <mergeCell ref="C35:F35"/>
    <mergeCell ref="C36:F36"/>
    <mergeCell ref="C37:F37"/>
    <mergeCell ref="C38:F38"/>
    <mergeCell ref="C49:F49"/>
    <mergeCell ref="C50:F50"/>
    <mergeCell ref="C43:F43"/>
    <mergeCell ref="C44:F44"/>
  </mergeCells>
  <printOptions/>
  <pageMargins left="0.7" right="0.7" top="0.75" bottom="0.75" header="0.3" footer="0.3"/>
  <pageSetup horizontalDpi="600" verticalDpi="600" orientation="portrait" paperSize="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C23" sqref="C23:F23"/>
    </sheetView>
  </sheetViews>
  <sheetFormatPr defaultColWidth="9.140625" defaultRowHeight="15"/>
  <cols>
    <col min="2" max="2" width="34.140625" style="0" customWidth="1"/>
    <col min="7" max="7" width="15.8515625" style="0" bestFit="1" customWidth="1"/>
    <col min="8" max="8" width="11.421875" style="0" customWidth="1"/>
    <col min="9" max="9" width="12.57421875" style="0" customWidth="1"/>
    <col min="11" max="11" width="9.57421875" style="0" bestFit="1" customWidth="1"/>
    <col min="12" max="12" width="12.421875" style="0" bestFit="1" customWidth="1"/>
    <col min="13" max="13" width="12.8515625" style="0" customWidth="1"/>
    <col min="14" max="14" width="14.28125" style="0" customWidth="1"/>
    <col min="15" max="15" width="12.140625" style="0" customWidth="1"/>
  </cols>
  <sheetData>
    <row r="1" spans="1:10" ht="15">
      <c r="A1" s="491" t="s">
        <v>226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513" t="s">
        <v>227</v>
      </c>
      <c r="B3" s="513"/>
      <c r="C3" s="513"/>
      <c r="D3" s="513"/>
      <c r="E3" s="513"/>
      <c r="F3" s="513"/>
      <c r="G3" s="513"/>
      <c r="H3" s="513"/>
      <c r="I3" s="513"/>
      <c r="J3" s="513"/>
    </row>
    <row r="4" spans="1:10" ht="15">
      <c r="A4" s="514" t="s">
        <v>155</v>
      </c>
      <c r="B4" s="515"/>
      <c r="C4" s="515"/>
      <c r="D4" s="515"/>
      <c r="E4" s="515"/>
      <c r="F4" s="515"/>
      <c r="G4" s="515"/>
      <c r="H4" s="515"/>
      <c r="I4" s="515"/>
      <c r="J4" s="515"/>
    </row>
    <row r="5" spans="1:20" ht="15">
      <c r="A5" s="495" t="s">
        <v>3</v>
      </c>
      <c r="B5" s="496" t="s">
        <v>4</v>
      </c>
      <c r="C5" s="497" t="s">
        <v>5</v>
      </c>
      <c r="D5" s="497"/>
      <c r="E5" s="497"/>
      <c r="F5" s="497"/>
      <c r="G5" s="498" t="s">
        <v>144</v>
      </c>
      <c r="H5" s="499" t="s">
        <v>7</v>
      </c>
      <c r="I5" s="500"/>
      <c r="J5" s="501"/>
      <c r="L5" s="410"/>
      <c r="M5" s="411"/>
      <c r="N5" s="411"/>
      <c r="O5" s="412"/>
      <c r="P5" s="412"/>
      <c r="Q5" s="412"/>
      <c r="R5" s="412"/>
      <c r="S5" s="413"/>
      <c r="T5" s="413"/>
    </row>
    <row r="6" spans="1:20" ht="25.5">
      <c r="A6" s="495"/>
      <c r="B6" s="496"/>
      <c r="C6" s="497"/>
      <c r="D6" s="497"/>
      <c r="E6" s="497"/>
      <c r="F6" s="497"/>
      <c r="G6" s="498"/>
      <c r="H6" s="4" t="s">
        <v>8</v>
      </c>
      <c r="I6" s="4" t="s">
        <v>9</v>
      </c>
      <c r="J6" s="4" t="s">
        <v>10</v>
      </c>
      <c r="L6" s="411"/>
      <c r="M6" s="411"/>
      <c r="N6" s="411"/>
      <c r="O6" s="412"/>
      <c r="P6" s="412"/>
      <c r="Q6" s="412"/>
      <c r="R6" s="412"/>
      <c r="S6" s="413"/>
      <c r="T6" s="413"/>
    </row>
    <row r="7" spans="1:20" ht="25.5">
      <c r="A7" s="5" t="s">
        <v>11</v>
      </c>
      <c r="B7" s="6" t="s">
        <v>156</v>
      </c>
      <c r="C7" s="502" t="s">
        <v>157</v>
      </c>
      <c r="D7" s="502"/>
      <c r="E7" s="502"/>
      <c r="F7" s="502"/>
      <c r="G7" s="8"/>
      <c r="H7" s="9"/>
      <c r="I7" s="9"/>
      <c r="J7" s="9"/>
      <c r="L7" s="411"/>
      <c r="M7" s="411"/>
      <c r="N7" s="411"/>
      <c r="O7" s="412"/>
      <c r="P7" s="412"/>
      <c r="Q7" s="412"/>
      <c r="R7" s="412"/>
      <c r="S7" s="413"/>
      <c r="T7" s="413"/>
    </row>
    <row r="8" spans="1:20" ht="25.5">
      <c r="A8" s="5" t="s">
        <v>14</v>
      </c>
      <c r="B8" s="10" t="s">
        <v>158</v>
      </c>
      <c r="C8" s="502" t="s">
        <v>159</v>
      </c>
      <c r="D8" s="502"/>
      <c r="E8" s="502"/>
      <c r="F8" s="502"/>
      <c r="G8" s="8"/>
      <c r="H8" s="9"/>
      <c r="I8" s="9"/>
      <c r="J8" s="9"/>
      <c r="L8" s="411"/>
      <c r="M8" s="411"/>
      <c r="N8" s="411"/>
      <c r="O8" s="412"/>
      <c r="P8" s="412"/>
      <c r="Q8" s="412"/>
      <c r="R8" s="412"/>
      <c r="S8" s="413"/>
      <c r="T8" s="413"/>
    </row>
    <row r="9" spans="1:20" ht="38.25">
      <c r="A9" s="5" t="s">
        <v>17</v>
      </c>
      <c r="B9" s="10" t="s">
        <v>160</v>
      </c>
      <c r="C9" s="502" t="s">
        <v>161</v>
      </c>
      <c r="D9" s="502"/>
      <c r="E9" s="502"/>
      <c r="F9" s="502"/>
      <c r="G9" s="8"/>
      <c r="H9" s="9"/>
      <c r="I9" s="9"/>
      <c r="J9" s="9"/>
      <c r="L9" s="411"/>
      <c r="M9" s="411"/>
      <c r="N9" s="414"/>
      <c r="O9" s="414"/>
      <c r="P9" s="412"/>
      <c r="Q9" s="412"/>
      <c r="R9" s="412"/>
      <c r="S9" s="413"/>
      <c r="T9" s="413"/>
    </row>
    <row r="10" spans="1:20" ht="25.5">
      <c r="A10" s="5" t="s">
        <v>20</v>
      </c>
      <c r="B10" s="10" t="s">
        <v>162</v>
      </c>
      <c r="C10" s="503" t="s">
        <v>163</v>
      </c>
      <c r="D10" s="507"/>
      <c r="E10" s="507"/>
      <c r="F10" s="508"/>
      <c r="G10" s="8"/>
      <c r="H10" s="9"/>
      <c r="I10" s="9"/>
      <c r="J10" s="9"/>
      <c r="L10" s="411"/>
      <c r="M10" s="415"/>
      <c r="N10" s="415"/>
      <c r="O10" s="415"/>
      <c r="P10" s="412"/>
      <c r="Q10" s="412"/>
      <c r="R10" s="412"/>
      <c r="S10" s="413"/>
      <c r="T10" s="413"/>
    </row>
    <row r="11" spans="1:20" ht="38.25">
      <c r="A11" s="5" t="s">
        <v>23</v>
      </c>
      <c r="B11" s="10" t="s">
        <v>164</v>
      </c>
      <c r="C11" s="503" t="s">
        <v>165</v>
      </c>
      <c r="D11" s="507"/>
      <c r="E11" s="507"/>
      <c r="F11" s="508"/>
      <c r="G11" s="8"/>
      <c r="H11" s="9"/>
      <c r="I11" s="9"/>
      <c r="J11" s="9"/>
      <c r="L11" s="411"/>
      <c r="M11" s="411"/>
      <c r="N11" s="411"/>
      <c r="O11" s="411"/>
      <c r="P11" s="412"/>
      <c r="Q11" s="412"/>
      <c r="R11" s="412"/>
      <c r="S11" s="413"/>
      <c r="T11" s="413"/>
    </row>
    <row r="12" spans="1:20" ht="25.5">
      <c r="A12" s="5" t="s">
        <v>26</v>
      </c>
      <c r="B12" s="10" t="s">
        <v>166</v>
      </c>
      <c r="C12" s="502" t="s">
        <v>167</v>
      </c>
      <c r="D12" s="502"/>
      <c r="E12" s="502"/>
      <c r="F12" s="502"/>
      <c r="G12" s="8"/>
      <c r="H12" s="9"/>
      <c r="I12" s="9"/>
      <c r="J12" s="9"/>
      <c r="L12" s="411"/>
      <c r="M12" s="411"/>
      <c r="N12" s="411"/>
      <c r="O12" s="412"/>
      <c r="P12" s="412"/>
      <c r="Q12" s="412"/>
      <c r="R12" s="412"/>
      <c r="S12" s="413"/>
      <c r="T12" s="413"/>
    </row>
    <row r="13" spans="1:20" ht="15">
      <c r="A13" s="5" t="s">
        <v>29</v>
      </c>
      <c r="B13" s="10" t="s">
        <v>168</v>
      </c>
      <c r="C13" s="502" t="s">
        <v>169</v>
      </c>
      <c r="D13" s="502"/>
      <c r="E13" s="502"/>
      <c r="F13" s="502"/>
      <c r="G13" s="8"/>
      <c r="H13" s="9"/>
      <c r="I13" s="9"/>
      <c r="J13" s="9"/>
      <c r="L13" s="411"/>
      <c r="M13" s="411"/>
      <c r="N13" s="411"/>
      <c r="O13" s="412"/>
      <c r="P13" s="412"/>
      <c r="Q13" s="412"/>
      <c r="R13" s="412"/>
      <c r="S13" s="413"/>
      <c r="T13" s="413"/>
    </row>
    <row r="14" spans="1:20" ht="25.5">
      <c r="A14" s="5" t="s">
        <v>32</v>
      </c>
      <c r="B14" s="10" t="s">
        <v>170</v>
      </c>
      <c r="C14" s="502" t="s">
        <v>171</v>
      </c>
      <c r="D14" s="502"/>
      <c r="E14" s="502"/>
      <c r="F14" s="502"/>
      <c r="G14" s="8"/>
      <c r="H14" s="9"/>
      <c r="I14" s="9"/>
      <c r="J14" s="9"/>
      <c r="L14" s="411"/>
      <c r="M14" s="411"/>
      <c r="N14" s="411"/>
      <c r="O14" s="412"/>
      <c r="P14" s="412"/>
      <c r="Q14" s="412"/>
      <c r="R14" s="412"/>
      <c r="S14" s="413"/>
      <c r="T14" s="413"/>
    </row>
    <row r="15" spans="1:20" ht="25.5">
      <c r="A15" s="13" t="s">
        <v>35</v>
      </c>
      <c r="B15" s="14" t="s">
        <v>172</v>
      </c>
      <c r="C15" s="506" t="s">
        <v>173</v>
      </c>
      <c r="D15" s="506"/>
      <c r="E15" s="506"/>
      <c r="F15" s="506"/>
      <c r="G15" s="18"/>
      <c r="H15" s="17"/>
      <c r="I15" s="17"/>
      <c r="J15" s="17"/>
      <c r="L15" s="411"/>
      <c r="M15" s="411"/>
      <c r="N15" s="411"/>
      <c r="O15" s="411"/>
      <c r="P15" s="412"/>
      <c r="Q15" s="412"/>
      <c r="R15" s="412"/>
      <c r="S15" s="413"/>
      <c r="T15" s="413"/>
    </row>
    <row r="16" spans="1:20" ht="25.5">
      <c r="A16" s="5" t="s">
        <v>38</v>
      </c>
      <c r="B16" s="10" t="s">
        <v>174</v>
      </c>
      <c r="C16" s="502" t="s">
        <v>175</v>
      </c>
      <c r="D16" s="502"/>
      <c r="E16" s="502"/>
      <c r="F16" s="502"/>
      <c r="G16" s="8"/>
      <c r="H16" s="12"/>
      <c r="I16" s="12"/>
      <c r="J16" s="12"/>
      <c r="L16" s="412"/>
      <c r="M16" s="412"/>
      <c r="N16" s="412"/>
      <c r="O16" s="412"/>
      <c r="P16" s="412"/>
      <c r="Q16" s="412"/>
      <c r="R16" s="412"/>
      <c r="S16" s="413"/>
      <c r="T16" s="413"/>
    </row>
    <row r="17" spans="1:20" ht="25.5">
      <c r="A17" s="13" t="s">
        <v>41</v>
      </c>
      <c r="B17" s="14" t="s">
        <v>176</v>
      </c>
      <c r="C17" s="506" t="s">
        <v>177</v>
      </c>
      <c r="D17" s="506"/>
      <c r="E17" s="506"/>
      <c r="F17" s="506"/>
      <c r="G17" s="18"/>
      <c r="H17" s="17"/>
      <c r="I17" s="17"/>
      <c r="J17" s="17"/>
      <c r="L17" s="412"/>
      <c r="M17" s="412"/>
      <c r="N17" s="412"/>
      <c r="O17" s="412"/>
      <c r="P17" s="412"/>
      <c r="Q17" s="412"/>
      <c r="R17" s="412"/>
      <c r="S17" s="413"/>
      <c r="T17" s="413"/>
    </row>
    <row r="18" spans="1:20" ht="15">
      <c r="A18" s="5" t="s">
        <v>44</v>
      </c>
      <c r="B18" s="10" t="s">
        <v>178</v>
      </c>
      <c r="C18" s="502" t="s">
        <v>179</v>
      </c>
      <c r="D18" s="502"/>
      <c r="E18" s="502"/>
      <c r="F18" s="502"/>
      <c r="G18" s="8"/>
      <c r="H18" s="9"/>
      <c r="I18" s="9"/>
      <c r="J18" s="9"/>
      <c r="L18" s="413"/>
      <c r="M18" s="413"/>
      <c r="N18" s="413"/>
      <c r="O18" s="413"/>
      <c r="P18" s="413"/>
      <c r="Q18" s="413"/>
      <c r="R18" s="413"/>
      <c r="S18" s="413"/>
      <c r="T18" s="413"/>
    </row>
    <row r="19" spans="1:20" ht="15">
      <c r="A19" s="5" t="s">
        <v>47</v>
      </c>
      <c r="B19" s="10" t="s">
        <v>180</v>
      </c>
      <c r="C19" s="502" t="s">
        <v>181</v>
      </c>
      <c r="D19" s="502"/>
      <c r="E19" s="502"/>
      <c r="F19" s="502"/>
      <c r="G19" s="8"/>
      <c r="H19" s="9"/>
      <c r="I19" s="9"/>
      <c r="J19" s="9"/>
      <c r="L19" s="413"/>
      <c r="M19" s="413"/>
      <c r="N19" s="413"/>
      <c r="O19" s="413"/>
      <c r="P19" s="413"/>
      <c r="Q19" s="413"/>
      <c r="R19" s="413"/>
      <c r="S19" s="413"/>
      <c r="T19" s="413"/>
    </row>
    <row r="20" spans="1:20" ht="15">
      <c r="A20" s="5" t="s">
        <v>50</v>
      </c>
      <c r="B20" s="10" t="s">
        <v>182</v>
      </c>
      <c r="C20" s="502" t="s">
        <v>183</v>
      </c>
      <c r="D20" s="502"/>
      <c r="E20" s="502"/>
      <c r="F20" s="502"/>
      <c r="G20" s="8"/>
      <c r="H20" s="9"/>
      <c r="I20" s="9"/>
      <c r="J20" s="9"/>
      <c r="L20" s="413"/>
      <c r="M20" s="413"/>
      <c r="N20" s="413"/>
      <c r="O20" s="413"/>
      <c r="P20" s="413"/>
      <c r="Q20" s="413"/>
      <c r="R20" s="413"/>
      <c r="S20" s="413"/>
      <c r="T20" s="413"/>
    </row>
    <row r="21" spans="1:20" ht="15">
      <c r="A21" s="5" t="s">
        <v>53</v>
      </c>
      <c r="B21" s="10" t="s">
        <v>184</v>
      </c>
      <c r="C21" s="502" t="s">
        <v>185</v>
      </c>
      <c r="D21" s="502"/>
      <c r="E21" s="502"/>
      <c r="F21" s="502"/>
      <c r="G21" s="8"/>
      <c r="H21" s="9"/>
      <c r="I21" s="9"/>
      <c r="J21" s="9"/>
      <c r="L21" s="413"/>
      <c r="M21" s="413"/>
      <c r="N21" s="413"/>
      <c r="O21" s="413"/>
      <c r="P21" s="413"/>
      <c r="Q21" s="413"/>
      <c r="R21" s="413"/>
      <c r="S21" s="413"/>
      <c r="T21" s="413"/>
    </row>
    <row r="22" spans="1:10" ht="15">
      <c r="A22" s="13" t="s">
        <v>56</v>
      </c>
      <c r="B22" s="14" t="s">
        <v>186</v>
      </c>
      <c r="C22" s="506" t="s">
        <v>187</v>
      </c>
      <c r="D22" s="506"/>
      <c r="E22" s="506"/>
      <c r="F22" s="506"/>
      <c r="G22" s="18"/>
      <c r="H22" s="17"/>
      <c r="I22" s="17"/>
      <c r="J22" s="17"/>
    </row>
    <row r="23" spans="1:10" ht="15">
      <c r="A23" s="5" t="s">
        <v>59</v>
      </c>
      <c r="B23" s="19" t="s">
        <v>188</v>
      </c>
      <c r="C23" s="502" t="s">
        <v>189</v>
      </c>
      <c r="D23" s="502"/>
      <c r="E23" s="502"/>
      <c r="F23" s="502"/>
      <c r="G23" s="8"/>
      <c r="H23" s="9"/>
      <c r="I23" s="9"/>
      <c r="J23" s="9"/>
    </row>
    <row r="24" spans="1:10" ht="15">
      <c r="A24" s="5" t="s">
        <v>62</v>
      </c>
      <c r="B24" s="19" t="s">
        <v>190</v>
      </c>
      <c r="C24" s="502" t="s">
        <v>191</v>
      </c>
      <c r="D24" s="502"/>
      <c r="E24" s="502"/>
      <c r="F24" s="502"/>
      <c r="G24" s="8">
        <v>700000</v>
      </c>
      <c r="H24" s="9"/>
      <c r="I24" s="27">
        <f>G24</f>
        <v>700000</v>
      </c>
      <c r="J24" s="9"/>
    </row>
    <row r="25" spans="1:10" ht="15">
      <c r="A25" s="5" t="s">
        <v>65</v>
      </c>
      <c r="B25" s="19" t="s">
        <v>192</v>
      </c>
      <c r="C25" s="502" t="s">
        <v>193</v>
      </c>
      <c r="D25" s="502"/>
      <c r="E25" s="502"/>
      <c r="F25" s="502"/>
      <c r="G25" s="8"/>
      <c r="H25" s="9"/>
      <c r="I25" s="12"/>
      <c r="J25" s="9"/>
    </row>
    <row r="26" spans="1:10" ht="15">
      <c r="A26" s="5" t="s">
        <v>68</v>
      </c>
      <c r="B26" s="19" t="s">
        <v>194</v>
      </c>
      <c r="C26" s="502" t="s">
        <v>195</v>
      </c>
      <c r="D26" s="502"/>
      <c r="E26" s="502"/>
      <c r="F26" s="502"/>
      <c r="G26" s="8"/>
      <c r="H26" s="9"/>
      <c r="I26" s="9"/>
      <c r="J26" s="9"/>
    </row>
    <row r="27" spans="1:10" ht="15">
      <c r="A27" s="5" t="s">
        <v>71</v>
      </c>
      <c r="B27" s="19" t="s">
        <v>196</v>
      </c>
      <c r="C27" s="502" t="s">
        <v>197</v>
      </c>
      <c r="D27" s="502"/>
      <c r="E27" s="502"/>
      <c r="F27" s="502"/>
      <c r="G27" s="8"/>
      <c r="H27" s="9"/>
      <c r="I27" s="9"/>
      <c r="J27" s="9"/>
    </row>
    <row r="28" spans="1:10" ht="15">
      <c r="A28" s="5" t="s">
        <v>74</v>
      </c>
      <c r="B28" s="19" t="s">
        <v>198</v>
      </c>
      <c r="C28" s="502" t="s">
        <v>199</v>
      </c>
      <c r="D28" s="502"/>
      <c r="E28" s="502"/>
      <c r="F28" s="502"/>
      <c r="G28" s="8"/>
      <c r="H28" s="9"/>
      <c r="I28" s="9"/>
      <c r="J28" s="9"/>
    </row>
    <row r="29" spans="1:10" ht="15">
      <c r="A29" s="13" t="s">
        <v>77</v>
      </c>
      <c r="B29" s="41" t="s">
        <v>200</v>
      </c>
      <c r="C29" s="506" t="s">
        <v>201</v>
      </c>
      <c r="D29" s="506"/>
      <c r="E29" s="506"/>
      <c r="F29" s="506"/>
      <c r="G29" s="18">
        <f>G24</f>
        <v>700000</v>
      </c>
      <c r="H29" s="17"/>
      <c r="I29" s="16">
        <f>I24</f>
        <v>700000</v>
      </c>
      <c r="J29" s="17"/>
    </row>
    <row r="30" spans="1:10" ht="15">
      <c r="A30" s="5" t="s">
        <v>80</v>
      </c>
      <c r="B30" s="21" t="s">
        <v>202</v>
      </c>
      <c r="C30" s="503" t="s">
        <v>203</v>
      </c>
      <c r="D30" s="507"/>
      <c r="E30" s="507"/>
      <c r="F30" s="508"/>
      <c r="G30" s="47"/>
      <c r="H30" s="9"/>
      <c r="I30" s="9"/>
      <c r="J30" s="9"/>
    </row>
    <row r="31" spans="1:10" ht="15">
      <c r="A31" s="13" t="s">
        <v>83</v>
      </c>
      <c r="B31" s="41" t="s">
        <v>204</v>
      </c>
      <c r="C31" s="509" t="s">
        <v>203</v>
      </c>
      <c r="D31" s="510"/>
      <c r="E31" s="510"/>
      <c r="F31" s="511"/>
      <c r="G31" s="18"/>
      <c r="H31" s="17"/>
      <c r="I31" s="17"/>
      <c r="J31" s="17"/>
    </row>
    <row r="32" spans="1:10" ht="38.25">
      <c r="A32" s="5" t="s">
        <v>86</v>
      </c>
      <c r="B32" s="10" t="s">
        <v>206</v>
      </c>
      <c r="C32" s="502" t="s">
        <v>207</v>
      </c>
      <c r="D32" s="502"/>
      <c r="E32" s="502"/>
      <c r="F32" s="502"/>
      <c r="G32" s="8"/>
      <c r="H32" s="9"/>
      <c r="I32" s="9"/>
      <c r="J32" s="9"/>
    </row>
    <row r="33" spans="1:10" ht="15">
      <c r="A33" s="13" t="s">
        <v>89</v>
      </c>
      <c r="B33" s="14" t="s">
        <v>208</v>
      </c>
      <c r="C33" s="506" t="s">
        <v>209</v>
      </c>
      <c r="D33" s="506"/>
      <c r="E33" s="506"/>
      <c r="F33" s="506"/>
      <c r="G33" s="18"/>
      <c r="H33" s="17"/>
      <c r="I33" s="17"/>
      <c r="J33" s="17"/>
    </row>
    <row r="34" spans="1:10" ht="25.5">
      <c r="A34" s="5" t="s">
        <v>92</v>
      </c>
      <c r="B34" s="10" t="s">
        <v>210</v>
      </c>
      <c r="C34" s="550" t="s">
        <v>211</v>
      </c>
      <c r="D34" s="551"/>
      <c r="E34" s="551"/>
      <c r="F34" s="552"/>
      <c r="G34" s="47"/>
      <c r="H34" s="9"/>
      <c r="I34" s="9"/>
      <c r="J34" s="9"/>
    </row>
    <row r="35" spans="1:10" ht="15">
      <c r="A35" s="13" t="s">
        <v>95</v>
      </c>
      <c r="B35" s="14" t="s">
        <v>212</v>
      </c>
      <c r="C35" s="506" t="s">
        <v>213</v>
      </c>
      <c r="D35" s="506"/>
      <c r="E35" s="506"/>
      <c r="F35" s="506"/>
      <c r="G35" s="18"/>
      <c r="H35" s="48"/>
      <c r="I35" s="48"/>
      <c r="J35" s="48"/>
    </row>
    <row r="36" spans="1:10" ht="25.5">
      <c r="A36" s="13" t="s">
        <v>98</v>
      </c>
      <c r="B36" s="28" t="s">
        <v>214</v>
      </c>
      <c r="C36" s="506" t="s">
        <v>215</v>
      </c>
      <c r="D36" s="506"/>
      <c r="E36" s="506"/>
      <c r="F36" s="506"/>
      <c r="G36" s="18">
        <f>G29</f>
        <v>700000</v>
      </c>
      <c r="H36" s="16"/>
      <c r="I36" s="16">
        <f>I29</f>
        <v>700000</v>
      </c>
      <c r="J36" s="17"/>
    </row>
    <row r="37" spans="1:10" ht="15">
      <c r="A37" s="29"/>
      <c r="B37" s="2"/>
      <c r="C37" s="2"/>
      <c r="D37" s="2"/>
      <c r="E37" s="2"/>
      <c r="F37" s="2"/>
      <c r="G37" s="30"/>
      <c r="H37" s="2"/>
      <c r="I37" s="2"/>
      <c r="J37" s="2"/>
    </row>
    <row r="38" spans="1:10" ht="15">
      <c r="A38" s="523" t="s">
        <v>228</v>
      </c>
      <c r="B38" s="523"/>
      <c r="C38" s="523"/>
      <c r="D38" s="523"/>
      <c r="E38" s="523"/>
      <c r="F38" s="523"/>
      <c r="G38" s="523"/>
      <c r="H38" s="523"/>
      <c r="I38" s="523"/>
      <c r="J38" s="523"/>
    </row>
    <row r="39" spans="1:10" ht="15">
      <c r="A39" s="495" t="s">
        <v>3</v>
      </c>
      <c r="B39" s="496" t="s">
        <v>4</v>
      </c>
      <c r="C39" s="497" t="s">
        <v>5</v>
      </c>
      <c r="D39" s="497"/>
      <c r="E39" s="497"/>
      <c r="F39" s="497"/>
      <c r="G39" s="498" t="s">
        <v>144</v>
      </c>
      <c r="H39" s="499" t="s">
        <v>7</v>
      </c>
      <c r="I39" s="500"/>
      <c r="J39" s="501"/>
    </row>
    <row r="40" spans="1:10" ht="25.5">
      <c r="A40" s="495"/>
      <c r="B40" s="496"/>
      <c r="C40" s="497"/>
      <c r="D40" s="497"/>
      <c r="E40" s="497"/>
      <c r="F40" s="497"/>
      <c r="G40" s="498"/>
      <c r="H40" s="4" t="s">
        <v>8</v>
      </c>
      <c r="I40" s="4" t="s">
        <v>9</v>
      </c>
      <c r="J40" s="4" t="s">
        <v>10</v>
      </c>
    </row>
    <row r="41" spans="1:10" ht="25.5">
      <c r="A41" s="5" t="s">
        <v>101</v>
      </c>
      <c r="B41" s="19" t="s">
        <v>217</v>
      </c>
      <c r="C41" s="502" t="s">
        <v>218</v>
      </c>
      <c r="D41" s="502"/>
      <c r="E41" s="502"/>
      <c r="F41" s="502"/>
      <c r="G41" s="8">
        <f>1001680+28580</f>
        <v>1030260</v>
      </c>
      <c r="H41" s="8">
        <v>0</v>
      </c>
      <c r="I41" s="49">
        <f>G41</f>
        <v>1030260</v>
      </c>
      <c r="J41" s="12"/>
    </row>
    <row r="42" spans="1:10" ht="15">
      <c r="A42" s="5" t="s">
        <v>104</v>
      </c>
      <c r="B42" s="19" t="s">
        <v>219</v>
      </c>
      <c r="C42" s="502" t="s">
        <v>220</v>
      </c>
      <c r="D42" s="502"/>
      <c r="E42" s="502"/>
      <c r="F42" s="502"/>
      <c r="G42" s="8"/>
      <c r="H42" s="12"/>
      <c r="I42" s="12"/>
      <c r="J42" s="12"/>
    </row>
    <row r="43" spans="1:10" ht="15">
      <c r="A43" s="5" t="s">
        <v>107</v>
      </c>
      <c r="B43" s="19" t="s">
        <v>221</v>
      </c>
      <c r="C43" s="503" t="s">
        <v>222</v>
      </c>
      <c r="D43" s="507"/>
      <c r="E43" s="507"/>
      <c r="F43" s="508"/>
      <c r="G43" s="8">
        <f>145717471-G41</f>
        <v>144687211</v>
      </c>
      <c r="H43" s="8"/>
      <c r="I43" s="12"/>
      <c r="J43" s="12"/>
    </row>
    <row r="44" spans="1:10" ht="15">
      <c r="A44" s="13" t="s">
        <v>110</v>
      </c>
      <c r="B44" s="28" t="s">
        <v>223</v>
      </c>
      <c r="C44" s="509" t="s">
        <v>224</v>
      </c>
      <c r="D44" s="510"/>
      <c r="E44" s="510"/>
      <c r="F44" s="511"/>
      <c r="G44" s="18">
        <f>SUM(G41:G43)</f>
        <v>145717471</v>
      </c>
      <c r="H44" s="18">
        <f>SUM(H41:H43)</f>
        <v>0</v>
      </c>
      <c r="I44" s="17"/>
      <c r="J44" s="17"/>
    </row>
    <row r="45" spans="1:10" ht="15">
      <c r="A45" s="36"/>
      <c r="B45" s="2"/>
      <c r="C45" s="2"/>
      <c r="D45" s="2"/>
      <c r="E45" s="2"/>
      <c r="F45" s="2"/>
      <c r="G45" s="30"/>
      <c r="H45" s="2"/>
      <c r="I45" s="2"/>
      <c r="J45" s="2"/>
    </row>
    <row r="46" spans="1:11" ht="15">
      <c r="A46" s="37"/>
      <c r="B46" s="38" t="s">
        <v>225</v>
      </c>
      <c r="C46" s="510"/>
      <c r="D46" s="510"/>
      <c r="E46" s="510"/>
      <c r="F46" s="510"/>
      <c r="G46" s="39">
        <f>G36+G44</f>
        <v>146417471</v>
      </c>
      <c r="H46" s="39"/>
      <c r="I46" s="50"/>
      <c r="J46" s="51"/>
      <c r="K46" s="61"/>
    </row>
  </sheetData>
  <sheetProtection/>
  <mergeCells count="49">
    <mergeCell ref="C43:F43"/>
    <mergeCell ref="A1:J1"/>
    <mergeCell ref="A3:J3"/>
    <mergeCell ref="A4:J4"/>
    <mergeCell ref="A5:A6"/>
    <mergeCell ref="B5:B6"/>
    <mergeCell ref="C5:F6"/>
    <mergeCell ref="G5:G6"/>
    <mergeCell ref="H5:J5"/>
    <mergeCell ref="C7:F7"/>
    <mergeCell ref="C8:F8"/>
    <mergeCell ref="C9:F9"/>
    <mergeCell ref="C12:F12"/>
    <mergeCell ref="C13:F13"/>
    <mergeCell ref="C14:F14"/>
    <mergeCell ref="C10:F10"/>
    <mergeCell ref="C11:F11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H39:J39"/>
    <mergeCell ref="C27:F27"/>
    <mergeCell ref="C28:F28"/>
    <mergeCell ref="C29:F29"/>
    <mergeCell ref="C32:F32"/>
    <mergeCell ref="C33:F33"/>
    <mergeCell ref="C35:F35"/>
    <mergeCell ref="C30:F30"/>
    <mergeCell ref="C31:F31"/>
    <mergeCell ref="C34:F34"/>
    <mergeCell ref="C41:F41"/>
    <mergeCell ref="C42:F42"/>
    <mergeCell ref="C44:F44"/>
    <mergeCell ref="C46:F46"/>
    <mergeCell ref="C36:F36"/>
    <mergeCell ref="A38:J38"/>
    <mergeCell ref="A39:A40"/>
    <mergeCell ref="B39:B40"/>
    <mergeCell ref="C39:F40"/>
    <mergeCell ref="G39:G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B1">
      <selection activeCell="N22" sqref="N22"/>
    </sheetView>
  </sheetViews>
  <sheetFormatPr defaultColWidth="9.140625" defaultRowHeight="15"/>
  <cols>
    <col min="1" max="1" width="9.57421875" style="0" customWidth="1"/>
    <col min="2" max="2" width="34.140625" style="0" customWidth="1"/>
    <col min="7" max="7" width="20.421875" style="62" bestFit="1" customWidth="1"/>
    <col min="8" max="8" width="10.8515625" style="62" bestFit="1" customWidth="1"/>
    <col min="9" max="9" width="11.8515625" style="62" bestFit="1" customWidth="1"/>
    <col min="10" max="10" width="6.28125" style="62" bestFit="1" customWidth="1"/>
    <col min="11" max="11" width="11.57421875" style="62" bestFit="1" customWidth="1"/>
    <col min="12" max="12" width="12.00390625" style="62" bestFit="1" customWidth="1"/>
    <col min="13" max="13" width="9.8515625" style="0" bestFit="1" customWidth="1"/>
    <col min="14" max="14" width="10.57421875" style="0" bestFit="1" customWidth="1"/>
  </cols>
  <sheetData>
    <row r="1" spans="1:12" ht="15">
      <c r="A1" s="491" t="s">
        <v>229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</row>
    <row r="2" spans="1:10" ht="15">
      <c r="A2" s="1"/>
      <c r="B2" s="1"/>
      <c r="C2" s="1"/>
      <c r="D2" s="1"/>
      <c r="E2" s="1"/>
      <c r="F2" s="1"/>
      <c r="G2" s="1"/>
      <c r="H2" s="1"/>
      <c r="I2" s="73"/>
      <c r="J2" s="73"/>
    </row>
    <row r="3" spans="1:10" ht="15">
      <c r="A3" s="513" t="s">
        <v>230</v>
      </c>
      <c r="B3" s="513"/>
      <c r="C3" s="513"/>
      <c r="D3" s="513"/>
      <c r="E3" s="513"/>
      <c r="F3" s="513"/>
      <c r="G3" s="513"/>
      <c r="H3" s="513"/>
      <c r="I3" s="74"/>
      <c r="J3" s="74"/>
    </row>
    <row r="4" spans="1:10" ht="15">
      <c r="A4" s="514" t="s">
        <v>2</v>
      </c>
      <c r="B4" s="515"/>
      <c r="C4" s="515"/>
      <c r="D4" s="515"/>
      <c r="E4" s="515"/>
      <c r="F4" s="515"/>
      <c r="G4" s="515"/>
      <c r="H4" s="515"/>
      <c r="I4" s="74"/>
      <c r="J4" s="74"/>
    </row>
    <row r="5" spans="1:12" ht="15">
      <c r="A5" s="495" t="s">
        <v>3</v>
      </c>
      <c r="B5" s="496" t="s">
        <v>4</v>
      </c>
      <c r="C5" s="497" t="s">
        <v>5</v>
      </c>
      <c r="D5" s="497"/>
      <c r="E5" s="497"/>
      <c r="F5" s="497"/>
      <c r="G5" s="553" t="s">
        <v>404</v>
      </c>
      <c r="H5" s="554"/>
      <c r="I5" s="555"/>
      <c r="J5" s="555"/>
      <c r="K5" s="555"/>
      <c r="L5" s="555"/>
    </row>
    <row r="6" spans="1:12" ht="26.25">
      <c r="A6" s="495"/>
      <c r="B6" s="496"/>
      <c r="C6" s="497"/>
      <c r="D6" s="497"/>
      <c r="E6" s="497"/>
      <c r="F6" s="497"/>
      <c r="G6" s="553"/>
      <c r="H6" s="75" t="s">
        <v>8</v>
      </c>
      <c r="I6" s="75" t="s">
        <v>9</v>
      </c>
      <c r="J6" s="75" t="s">
        <v>10</v>
      </c>
      <c r="K6" s="75" t="s">
        <v>245</v>
      </c>
      <c r="L6" s="75" t="s">
        <v>246</v>
      </c>
    </row>
    <row r="7" spans="1:14" ht="15">
      <c r="A7" s="5" t="s">
        <v>11</v>
      </c>
      <c r="B7" s="6" t="s">
        <v>12</v>
      </c>
      <c r="C7" s="503" t="s">
        <v>13</v>
      </c>
      <c r="D7" s="507"/>
      <c r="E7" s="507"/>
      <c r="F7" s="508"/>
      <c r="G7" s="76">
        <f>'[7]Hiv.'!$I$84</f>
        <v>105267608</v>
      </c>
      <c r="H7" s="77">
        <f>G7</f>
        <v>105267608</v>
      </c>
      <c r="I7" s="78"/>
      <c r="J7" s="78"/>
      <c r="K7" s="85">
        <f>G7-L7</f>
        <v>72788508</v>
      </c>
      <c r="L7" s="85">
        <f>'[7]SZLK'!$R$17</f>
        <v>32479100</v>
      </c>
      <c r="N7" s="61"/>
    </row>
    <row r="8" spans="1:13" ht="15">
      <c r="A8" s="5" t="s">
        <v>14</v>
      </c>
      <c r="B8" s="6" t="s">
        <v>15</v>
      </c>
      <c r="C8" s="503" t="s">
        <v>16</v>
      </c>
      <c r="D8" s="507"/>
      <c r="E8" s="507"/>
      <c r="F8" s="508"/>
      <c r="G8" s="76">
        <f>'[6]Hiv.'!$I$103</f>
        <v>4947000</v>
      </c>
      <c r="H8" s="77">
        <f aca="true" t="shared" si="0" ref="H8:H18">G8</f>
        <v>4947000</v>
      </c>
      <c r="I8" s="78"/>
      <c r="J8" s="78"/>
      <c r="K8" s="85">
        <f>G8-L8</f>
        <v>4542000</v>
      </c>
      <c r="L8" s="85">
        <f>'[7]SZLK'!$R$18</f>
        <v>405000</v>
      </c>
      <c r="M8" s="61"/>
    </row>
    <row r="9" spans="1:14" ht="25.5">
      <c r="A9" s="5" t="s">
        <v>17</v>
      </c>
      <c r="B9" s="6" t="s">
        <v>18</v>
      </c>
      <c r="C9" s="503" t="s">
        <v>19</v>
      </c>
      <c r="D9" s="507"/>
      <c r="E9" s="507"/>
      <c r="F9" s="508"/>
      <c r="G9" s="76">
        <f>'[6]Hiv.'!$I$85</f>
        <v>407500</v>
      </c>
      <c r="H9" s="77">
        <f t="shared" si="0"/>
        <v>407500</v>
      </c>
      <c r="I9" s="78"/>
      <c r="J9" s="78"/>
      <c r="K9" s="85">
        <f aca="true" t="shared" si="1" ref="K9:K18">G9-L9</f>
        <v>407500</v>
      </c>
      <c r="L9" s="85">
        <v>0</v>
      </c>
      <c r="N9" s="275"/>
    </row>
    <row r="10" spans="1:12" ht="15">
      <c r="A10" s="5" t="s">
        <v>20</v>
      </c>
      <c r="B10" s="6" t="s">
        <v>21</v>
      </c>
      <c r="C10" s="503" t="s">
        <v>22</v>
      </c>
      <c r="D10" s="507"/>
      <c r="E10" s="507"/>
      <c r="F10" s="508"/>
      <c r="G10" s="76">
        <v>1800000</v>
      </c>
      <c r="H10" s="77">
        <f t="shared" si="0"/>
        <v>1800000</v>
      </c>
      <c r="I10" s="78"/>
      <c r="J10" s="78"/>
      <c r="K10" s="85">
        <f t="shared" si="1"/>
        <v>1800000</v>
      </c>
      <c r="L10" s="85">
        <v>0</v>
      </c>
    </row>
    <row r="11" spans="1:12" ht="15">
      <c r="A11" s="5" t="s">
        <v>23</v>
      </c>
      <c r="B11" s="10" t="s">
        <v>24</v>
      </c>
      <c r="C11" s="502" t="s">
        <v>25</v>
      </c>
      <c r="D11" s="502"/>
      <c r="E11" s="502"/>
      <c r="F11" s="502"/>
      <c r="G11" s="76">
        <f>'[7]Hiv.'!$I$87</f>
        <v>3505525</v>
      </c>
      <c r="H11" s="77">
        <f t="shared" si="0"/>
        <v>3505525</v>
      </c>
      <c r="I11" s="78"/>
      <c r="J11" s="78"/>
      <c r="K11" s="85">
        <f t="shared" si="1"/>
        <v>2379500</v>
      </c>
      <c r="L11" s="85">
        <f>'[7]SZLK'!$R$20</f>
        <v>1126025</v>
      </c>
    </row>
    <row r="12" spans="1:12" ht="15">
      <c r="A12" s="5" t="s">
        <v>26</v>
      </c>
      <c r="B12" s="10" t="s">
        <v>27</v>
      </c>
      <c r="C12" s="503" t="s">
        <v>28</v>
      </c>
      <c r="D12" s="507"/>
      <c r="E12" s="507"/>
      <c r="F12" s="508"/>
      <c r="G12" s="76">
        <f>'[6]Hiv.'!$I$88</f>
        <v>0</v>
      </c>
      <c r="H12" s="77">
        <f t="shared" si="0"/>
        <v>0</v>
      </c>
      <c r="I12" s="78"/>
      <c r="J12" s="78"/>
      <c r="K12" s="85">
        <f t="shared" si="1"/>
        <v>0</v>
      </c>
      <c r="L12" s="85">
        <v>0</v>
      </c>
    </row>
    <row r="13" spans="1:12" ht="15">
      <c r="A13" s="5" t="s">
        <v>29</v>
      </c>
      <c r="B13" s="10" t="s">
        <v>30</v>
      </c>
      <c r="C13" s="502" t="s">
        <v>31</v>
      </c>
      <c r="D13" s="502"/>
      <c r="E13" s="502"/>
      <c r="F13" s="502"/>
      <c r="G13" s="76">
        <f>'[6]Hiv.'!$I$89</f>
        <v>1234620</v>
      </c>
      <c r="H13" s="77">
        <f t="shared" si="0"/>
        <v>1234620</v>
      </c>
      <c r="I13" s="78"/>
      <c r="J13" s="78"/>
      <c r="K13" s="85">
        <f t="shared" si="1"/>
        <v>893000</v>
      </c>
      <c r="L13" s="85">
        <f>'[7]SZLK'!$R$21</f>
        <v>341620</v>
      </c>
    </row>
    <row r="14" spans="1:12" ht="15">
      <c r="A14" s="5" t="s">
        <v>32</v>
      </c>
      <c r="B14" s="10" t="s">
        <v>33</v>
      </c>
      <c r="C14" s="503" t="s">
        <v>34</v>
      </c>
      <c r="D14" s="507"/>
      <c r="E14" s="507"/>
      <c r="F14" s="508"/>
      <c r="G14" s="76">
        <f>0</f>
        <v>0</v>
      </c>
      <c r="H14" s="77">
        <f t="shared" si="0"/>
        <v>0</v>
      </c>
      <c r="I14" s="78"/>
      <c r="J14" s="78"/>
      <c r="K14" s="85">
        <f t="shared" si="1"/>
        <v>0</v>
      </c>
      <c r="L14" s="85">
        <v>0</v>
      </c>
    </row>
    <row r="15" spans="1:12" ht="15">
      <c r="A15" s="5" t="s">
        <v>35</v>
      </c>
      <c r="B15" s="10" t="s">
        <v>36</v>
      </c>
      <c r="C15" s="503" t="s">
        <v>37</v>
      </c>
      <c r="D15" s="507"/>
      <c r="E15" s="507"/>
      <c r="F15" s="508"/>
      <c r="G15" s="76">
        <f>'[6]Hiv.'!$I$90</f>
        <v>1000000</v>
      </c>
      <c r="H15" s="77">
        <f t="shared" si="0"/>
        <v>1000000</v>
      </c>
      <c r="I15" s="78"/>
      <c r="J15" s="78"/>
      <c r="K15" s="85">
        <f t="shared" si="1"/>
        <v>1000000</v>
      </c>
      <c r="L15" s="85">
        <v>0</v>
      </c>
    </row>
    <row r="16" spans="1:12" ht="15">
      <c r="A16" s="5" t="s">
        <v>38</v>
      </c>
      <c r="B16" s="10" t="s">
        <v>39</v>
      </c>
      <c r="C16" s="502" t="s">
        <v>40</v>
      </c>
      <c r="D16" s="502"/>
      <c r="E16" s="502"/>
      <c r="F16" s="502"/>
      <c r="G16" s="76">
        <v>0</v>
      </c>
      <c r="H16" s="77">
        <f t="shared" si="0"/>
        <v>0</v>
      </c>
      <c r="I16" s="78"/>
      <c r="J16" s="78"/>
      <c r="K16" s="85">
        <f t="shared" si="1"/>
        <v>0</v>
      </c>
      <c r="L16" s="85">
        <v>0</v>
      </c>
    </row>
    <row r="17" spans="1:12" ht="38.25">
      <c r="A17" s="5" t="s">
        <v>41</v>
      </c>
      <c r="B17" s="10" t="s">
        <v>42</v>
      </c>
      <c r="C17" s="502" t="s">
        <v>43</v>
      </c>
      <c r="D17" s="502"/>
      <c r="E17" s="502"/>
      <c r="F17" s="502"/>
      <c r="G17" s="79">
        <f>'[6]Hiv.'!$I$91</f>
        <v>864000</v>
      </c>
      <c r="H17" s="77">
        <f t="shared" si="0"/>
        <v>864000</v>
      </c>
      <c r="I17" s="80"/>
      <c r="J17" s="80"/>
      <c r="K17" s="85">
        <f t="shared" si="1"/>
        <v>864000</v>
      </c>
      <c r="L17" s="85">
        <v>0</v>
      </c>
    </row>
    <row r="18" spans="1:12" ht="15">
      <c r="A18" s="5" t="s">
        <v>44</v>
      </c>
      <c r="B18" s="10" t="s">
        <v>45</v>
      </c>
      <c r="C18" s="502" t="s">
        <v>46</v>
      </c>
      <c r="D18" s="502"/>
      <c r="E18" s="502"/>
      <c r="F18" s="502"/>
      <c r="G18" s="76">
        <f>'[6]Hiv.'!$I$92</f>
        <v>50000</v>
      </c>
      <c r="H18" s="77">
        <f t="shared" si="0"/>
        <v>50000</v>
      </c>
      <c r="I18" s="78"/>
      <c r="J18" s="78"/>
      <c r="K18" s="85">
        <f t="shared" si="1"/>
        <v>50000</v>
      </c>
      <c r="L18" s="85">
        <v>0</v>
      </c>
    </row>
    <row r="19" spans="1:12" ht="15">
      <c r="A19" s="13" t="s">
        <v>47</v>
      </c>
      <c r="B19" s="14" t="s">
        <v>48</v>
      </c>
      <c r="C19" s="506" t="s">
        <v>49</v>
      </c>
      <c r="D19" s="506"/>
      <c r="E19" s="506"/>
      <c r="F19" s="506"/>
      <c r="G19" s="81">
        <f>SUM(G7:G18)</f>
        <v>119076253</v>
      </c>
      <c r="H19" s="81">
        <f>SUM(H7:H18)</f>
        <v>119076253</v>
      </c>
      <c r="I19" s="82"/>
      <c r="J19" s="82"/>
      <c r="K19" s="83">
        <f>SUM(K7:K18)</f>
        <v>84724508</v>
      </c>
      <c r="L19" s="83">
        <f>SUM(L7:L18)</f>
        <v>34351745</v>
      </c>
    </row>
    <row r="20" spans="1:12" ht="25.5">
      <c r="A20" s="13" t="s">
        <v>50</v>
      </c>
      <c r="B20" s="14" t="s">
        <v>51</v>
      </c>
      <c r="C20" s="506" t="s">
        <v>52</v>
      </c>
      <c r="D20" s="506"/>
      <c r="E20" s="506"/>
      <c r="F20" s="506"/>
      <c r="G20" s="84">
        <f>'[7]Hiv.'!$I$93</f>
        <v>15688217.540000001</v>
      </c>
      <c r="H20" s="84">
        <f>G20</f>
        <v>15688217.540000001</v>
      </c>
      <c r="I20" s="84"/>
      <c r="J20" s="84"/>
      <c r="K20" s="83">
        <f>G20-L20</f>
        <v>11433721.040000001</v>
      </c>
      <c r="L20" s="83">
        <f>'[7]SZLK'!$R$22</f>
        <v>4254496.5</v>
      </c>
    </row>
    <row r="21" spans="1:12" ht="15">
      <c r="A21" s="5" t="s">
        <v>53</v>
      </c>
      <c r="B21" s="10" t="s">
        <v>54</v>
      </c>
      <c r="C21" s="502" t="s">
        <v>55</v>
      </c>
      <c r="D21" s="502"/>
      <c r="E21" s="502"/>
      <c r="F21" s="502"/>
      <c r="G21" s="76">
        <f>'[7]Hiv.'!$I$94</f>
        <v>400000</v>
      </c>
      <c r="H21" s="77">
        <f>G21</f>
        <v>400000</v>
      </c>
      <c r="I21" s="78"/>
      <c r="J21" s="78"/>
      <c r="K21" s="85">
        <f>G21</f>
        <v>400000</v>
      </c>
      <c r="L21" s="86"/>
    </row>
    <row r="22" spans="1:12" ht="15">
      <c r="A22" s="5" t="s">
        <v>56</v>
      </c>
      <c r="B22" s="10" t="s">
        <v>57</v>
      </c>
      <c r="C22" s="503" t="s">
        <v>58</v>
      </c>
      <c r="D22" s="507"/>
      <c r="E22" s="507"/>
      <c r="F22" s="508"/>
      <c r="G22" s="76">
        <f>'[7]Hiv.'!$I$95</f>
        <v>1650000</v>
      </c>
      <c r="H22" s="77">
        <f aca="true" t="shared" si="2" ref="H22:H31">G22</f>
        <v>1650000</v>
      </c>
      <c r="I22" s="78"/>
      <c r="J22" s="78"/>
      <c r="K22" s="85">
        <f aca="true" t="shared" si="3" ref="K22:K32">G22</f>
        <v>1650000</v>
      </c>
      <c r="L22" s="86"/>
    </row>
    <row r="23" spans="1:12" ht="15">
      <c r="A23" s="5" t="s">
        <v>59</v>
      </c>
      <c r="B23" s="10" t="s">
        <v>60</v>
      </c>
      <c r="C23" s="502" t="s">
        <v>61</v>
      </c>
      <c r="D23" s="502"/>
      <c r="E23" s="502"/>
      <c r="F23" s="502"/>
      <c r="G23" s="76">
        <f>'[7]Hiv.'!$I$96</f>
        <v>700000</v>
      </c>
      <c r="H23" s="77">
        <f t="shared" si="2"/>
        <v>700000</v>
      </c>
      <c r="I23" s="78"/>
      <c r="J23" s="78"/>
      <c r="K23" s="85">
        <f t="shared" si="3"/>
        <v>700000</v>
      </c>
      <c r="L23" s="86"/>
    </row>
    <row r="24" spans="1:12" ht="15">
      <c r="A24" s="5" t="s">
        <v>62</v>
      </c>
      <c r="B24" s="10" t="s">
        <v>63</v>
      </c>
      <c r="C24" s="502" t="s">
        <v>64</v>
      </c>
      <c r="D24" s="502"/>
      <c r="E24" s="502"/>
      <c r="F24" s="502"/>
      <c r="G24" s="76">
        <f>'[7]Hiv.'!$I$97</f>
        <v>450000</v>
      </c>
      <c r="H24" s="77">
        <f t="shared" si="2"/>
        <v>450000</v>
      </c>
      <c r="I24" s="78"/>
      <c r="J24" s="78"/>
      <c r="K24" s="85">
        <f t="shared" si="3"/>
        <v>450000</v>
      </c>
      <c r="L24" s="86"/>
    </row>
    <row r="25" spans="1:12" ht="15">
      <c r="A25" s="5" t="s">
        <v>65</v>
      </c>
      <c r="B25" s="19" t="s">
        <v>66</v>
      </c>
      <c r="C25" s="502" t="s">
        <v>67</v>
      </c>
      <c r="D25" s="502"/>
      <c r="E25" s="502"/>
      <c r="F25" s="502"/>
      <c r="G25" s="76">
        <f>'[7]Hiv.'!$I$98</f>
        <v>2000000</v>
      </c>
      <c r="H25" s="77">
        <f t="shared" si="2"/>
        <v>2000000</v>
      </c>
      <c r="I25" s="78"/>
      <c r="J25" s="78"/>
      <c r="K25" s="85">
        <f t="shared" si="3"/>
        <v>2000000</v>
      </c>
      <c r="L25" s="86"/>
    </row>
    <row r="26" spans="1:12" ht="15">
      <c r="A26" s="5" t="s">
        <v>68</v>
      </c>
      <c r="B26" s="19" t="s">
        <v>69</v>
      </c>
      <c r="C26" s="502" t="s">
        <v>70</v>
      </c>
      <c r="D26" s="502"/>
      <c r="E26" s="502"/>
      <c r="F26" s="502"/>
      <c r="G26" s="76">
        <v>0</v>
      </c>
      <c r="H26" s="77">
        <f t="shared" si="2"/>
        <v>0</v>
      </c>
      <c r="I26" s="78"/>
      <c r="J26" s="78"/>
      <c r="K26" s="85">
        <f t="shared" si="3"/>
        <v>0</v>
      </c>
      <c r="L26" s="86"/>
    </row>
    <row r="27" spans="1:12" ht="15">
      <c r="A27" s="5" t="s">
        <v>71</v>
      </c>
      <c r="B27" s="19" t="s">
        <v>72</v>
      </c>
      <c r="C27" s="503" t="s">
        <v>73</v>
      </c>
      <c r="D27" s="507"/>
      <c r="E27" s="507"/>
      <c r="F27" s="508"/>
      <c r="G27" s="76">
        <v>0</v>
      </c>
      <c r="H27" s="77">
        <f t="shared" si="2"/>
        <v>0</v>
      </c>
      <c r="I27" s="78"/>
      <c r="J27" s="78"/>
      <c r="K27" s="85">
        <f t="shared" si="3"/>
        <v>0</v>
      </c>
      <c r="L27" s="86"/>
    </row>
    <row r="28" spans="1:12" ht="25.5">
      <c r="A28" s="5" t="s">
        <v>74</v>
      </c>
      <c r="B28" s="19" t="s">
        <v>75</v>
      </c>
      <c r="C28" s="502" t="s">
        <v>76</v>
      </c>
      <c r="D28" s="502"/>
      <c r="E28" s="502"/>
      <c r="F28" s="502"/>
      <c r="G28" s="76">
        <f>'[7]Hiv.'!$I$99</f>
        <v>2000000</v>
      </c>
      <c r="H28" s="77">
        <f t="shared" si="2"/>
        <v>2000000</v>
      </c>
      <c r="I28" s="78"/>
      <c r="J28" s="78"/>
      <c r="K28" s="85">
        <f t="shared" si="3"/>
        <v>2000000</v>
      </c>
      <c r="L28" s="86"/>
    </row>
    <row r="29" spans="1:12" ht="15">
      <c r="A29" s="5" t="s">
        <v>77</v>
      </c>
      <c r="B29" s="19" t="s">
        <v>78</v>
      </c>
      <c r="C29" s="502" t="s">
        <v>79</v>
      </c>
      <c r="D29" s="502"/>
      <c r="E29" s="502"/>
      <c r="F29" s="502"/>
      <c r="G29" s="76">
        <f>'[7]Hiv.'!$I$100</f>
        <v>800000</v>
      </c>
      <c r="H29" s="77">
        <f t="shared" si="2"/>
        <v>800000</v>
      </c>
      <c r="I29" s="78"/>
      <c r="J29" s="78"/>
      <c r="K29" s="85">
        <f t="shared" si="3"/>
        <v>800000</v>
      </c>
      <c r="L29" s="86"/>
    </row>
    <row r="30" spans="1:12" ht="15">
      <c r="A30" s="5" t="s">
        <v>80</v>
      </c>
      <c r="B30" s="19" t="s">
        <v>81</v>
      </c>
      <c r="C30" s="503" t="s">
        <v>82</v>
      </c>
      <c r="D30" s="507"/>
      <c r="E30" s="507"/>
      <c r="F30" s="508"/>
      <c r="G30" s="76">
        <f>'[7]Hiv.'!$I$101</f>
        <v>200000</v>
      </c>
      <c r="H30" s="77">
        <v>0</v>
      </c>
      <c r="I30" s="92">
        <v>200000</v>
      </c>
      <c r="J30" s="78"/>
      <c r="K30" s="85">
        <f t="shared" si="3"/>
        <v>200000</v>
      </c>
      <c r="L30" s="86"/>
    </row>
    <row r="31" spans="1:12" ht="25.5">
      <c r="A31" s="5" t="s">
        <v>83</v>
      </c>
      <c r="B31" s="19" t="s">
        <v>84</v>
      </c>
      <c r="C31" s="502" t="s">
        <v>85</v>
      </c>
      <c r="D31" s="502"/>
      <c r="E31" s="502"/>
      <c r="F31" s="502"/>
      <c r="G31" s="76">
        <f>'[7]Hiv.'!$I$102</f>
        <v>1675000</v>
      </c>
      <c r="H31" s="77">
        <f t="shared" si="2"/>
        <v>1675000</v>
      </c>
      <c r="I31" s="78"/>
      <c r="J31" s="78"/>
      <c r="K31" s="85">
        <f t="shared" si="3"/>
        <v>1675000</v>
      </c>
      <c r="L31" s="86"/>
    </row>
    <row r="32" spans="1:12" ht="15">
      <c r="A32" s="5" t="s">
        <v>86</v>
      </c>
      <c r="B32" s="21" t="s">
        <v>87</v>
      </c>
      <c r="C32" s="502" t="s">
        <v>88</v>
      </c>
      <c r="D32" s="502"/>
      <c r="E32" s="502"/>
      <c r="F32" s="502"/>
      <c r="G32" s="79"/>
      <c r="H32" s="87"/>
      <c r="I32" s="78"/>
      <c r="J32" s="78"/>
      <c r="K32" s="85">
        <f t="shared" si="3"/>
        <v>0</v>
      </c>
      <c r="L32" s="86"/>
    </row>
    <row r="33" spans="1:12" ht="15">
      <c r="A33" s="13" t="s">
        <v>89</v>
      </c>
      <c r="B33" s="14" t="s">
        <v>90</v>
      </c>
      <c r="C33" s="506" t="s">
        <v>91</v>
      </c>
      <c r="D33" s="506"/>
      <c r="E33" s="506"/>
      <c r="F33" s="506"/>
      <c r="G33" s="88">
        <f>SUM(G21:G32)</f>
        <v>9875000</v>
      </c>
      <c r="H33" s="88">
        <f>SUM(H21:H32)</f>
        <v>9675000</v>
      </c>
      <c r="I33" s="88">
        <f>SUM(I21:I32)</f>
        <v>200000</v>
      </c>
      <c r="J33" s="88">
        <f>SUM(J21:J32)</f>
        <v>0</v>
      </c>
      <c r="K33" s="88">
        <f>SUM(K21:K32)</f>
        <v>9875000</v>
      </c>
      <c r="L33" s="72"/>
    </row>
    <row r="34" spans="1:12" ht="15">
      <c r="A34" s="5" t="s">
        <v>92</v>
      </c>
      <c r="B34" s="10" t="s">
        <v>93</v>
      </c>
      <c r="C34" s="503" t="s">
        <v>94</v>
      </c>
      <c r="D34" s="507"/>
      <c r="E34" s="507"/>
      <c r="F34" s="508"/>
      <c r="G34" s="89"/>
      <c r="H34" s="90"/>
      <c r="I34" s="78"/>
      <c r="J34" s="78"/>
      <c r="K34" s="86"/>
      <c r="L34" s="86"/>
    </row>
    <row r="35" spans="1:12" ht="15">
      <c r="A35" s="5" t="s">
        <v>95</v>
      </c>
      <c r="B35" s="10" t="s">
        <v>96</v>
      </c>
      <c r="C35" s="503" t="s">
        <v>97</v>
      </c>
      <c r="D35" s="507"/>
      <c r="E35" s="507"/>
      <c r="F35" s="508"/>
      <c r="G35" s="89"/>
      <c r="H35" s="90"/>
      <c r="I35" s="78"/>
      <c r="J35" s="78"/>
      <c r="K35" s="86"/>
      <c r="L35" s="86"/>
    </row>
    <row r="36" spans="1:12" ht="15">
      <c r="A36" s="13" t="s">
        <v>98</v>
      </c>
      <c r="B36" s="14" t="s">
        <v>99</v>
      </c>
      <c r="C36" s="509" t="s">
        <v>100</v>
      </c>
      <c r="D36" s="510"/>
      <c r="E36" s="510"/>
      <c r="F36" s="511"/>
      <c r="G36" s="88"/>
      <c r="H36" s="84"/>
      <c r="I36" s="84"/>
      <c r="J36" s="84"/>
      <c r="K36" s="72"/>
      <c r="L36" s="72"/>
    </row>
    <row r="37" spans="1:12" ht="25.5">
      <c r="A37" s="5" t="s">
        <v>101</v>
      </c>
      <c r="B37" s="10" t="s">
        <v>102</v>
      </c>
      <c r="C37" s="503" t="s">
        <v>103</v>
      </c>
      <c r="D37" s="507"/>
      <c r="E37" s="507"/>
      <c r="F37" s="508"/>
      <c r="G37" s="89"/>
      <c r="H37" s="90"/>
      <c r="I37" s="78"/>
      <c r="J37" s="78"/>
      <c r="K37" s="86"/>
      <c r="L37" s="86"/>
    </row>
    <row r="38" spans="1:12" ht="25.5">
      <c r="A38" s="5" t="s">
        <v>104</v>
      </c>
      <c r="B38" s="10" t="s">
        <v>105</v>
      </c>
      <c r="C38" s="503" t="s">
        <v>106</v>
      </c>
      <c r="D38" s="507"/>
      <c r="E38" s="507"/>
      <c r="F38" s="508"/>
      <c r="G38" s="89"/>
      <c r="H38" s="90"/>
      <c r="I38" s="78"/>
      <c r="J38" s="78"/>
      <c r="K38" s="86"/>
      <c r="L38" s="86"/>
    </row>
    <row r="39" spans="1:12" ht="15">
      <c r="A39" s="5" t="s">
        <v>107</v>
      </c>
      <c r="B39" s="10" t="s">
        <v>108</v>
      </c>
      <c r="C39" s="503" t="s">
        <v>109</v>
      </c>
      <c r="D39" s="507"/>
      <c r="E39" s="507"/>
      <c r="F39" s="508"/>
      <c r="G39" s="89"/>
      <c r="H39" s="90"/>
      <c r="I39" s="78"/>
      <c r="J39" s="78"/>
      <c r="K39" s="86"/>
      <c r="L39" s="86"/>
    </row>
    <row r="40" spans="1:12" ht="15">
      <c r="A40" s="13" t="s">
        <v>110</v>
      </c>
      <c r="B40" s="24" t="s">
        <v>111</v>
      </c>
      <c r="C40" s="509" t="s">
        <v>112</v>
      </c>
      <c r="D40" s="510"/>
      <c r="E40" s="510"/>
      <c r="F40" s="511"/>
      <c r="G40" s="88"/>
      <c r="H40" s="84"/>
      <c r="I40" s="84"/>
      <c r="J40" s="84"/>
      <c r="K40" s="72"/>
      <c r="L40" s="72"/>
    </row>
    <row r="41" spans="1:12" ht="15">
      <c r="A41" s="5" t="s">
        <v>113</v>
      </c>
      <c r="B41" s="25" t="s">
        <v>114</v>
      </c>
      <c r="C41" s="520" t="s">
        <v>115</v>
      </c>
      <c r="D41" s="521"/>
      <c r="E41" s="521"/>
      <c r="F41" s="522"/>
      <c r="G41" s="79">
        <v>0</v>
      </c>
      <c r="H41" s="90"/>
      <c r="I41" s="87">
        <f>G41</f>
        <v>0</v>
      </c>
      <c r="J41" s="90"/>
      <c r="K41" s="91"/>
      <c r="L41" s="91"/>
    </row>
    <row r="42" spans="1:12" ht="15">
      <c r="A42" s="5" t="s">
        <v>116</v>
      </c>
      <c r="B42" s="25" t="s">
        <v>235</v>
      </c>
      <c r="C42" s="503" t="s">
        <v>236</v>
      </c>
      <c r="D42" s="507"/>
      <c r="E42" s="507"/>
      <c r="F42" s="508"/>
      <c r="G42" s="79">
        <f>'[7]Hiv.'!$I$104</f>
        <v>1000000</v>
      </c>
      <c r="H42" s="90"/>
      <c r="I42" s="87">
        <f>G42</f>
        <v>1000000</v>
      </c>
      <c r="J42" s="90"/>
      <c r="K42" s="307">
        <f>G42</f>
        <v>1000000</v>
      </c>
      <c r="L42" s="91"/>
    </row>
    <row r="43" spans="1:12" ht="25.5">
      <c r="A43" s="5" t="s">
        <v>119</v>
      </c>
      <c r="B43" s="10" t="s">
        <v>117</v>
      </c>
      <c r="C43" s="503" t="s">
        <v>118</v>
      </c>
      <c r="D43" s="507"/>
      <c r="E43" s="507"/>
      <c r="F43" s="508"/>
      <c r="G43" s="79">
        <f>'[7]Hiv.'!$I$105</f>
        <v>400000</v>
      </c>
      <c r="H43" s="87">
        <v>0</v>
      </c>
      <c r="I43" s="92">
        <f>G43</f>
        <v>400000</v>
      </c>
      <c r="J43" s="78"/>
      <c r="K43" s="85">
        <f>G43</f>
        <v>400000</v>
      </c>
      <c r="L43" s="86"/>
    </row>
    <row r="44" spans="1:12" ht="25.5">
      <c r="A44" s="5" t="s">
        <v>122</v>
      </c>
      <c r="B44" s="10" t="s">
        <v>120</v>
      </c>
      <c r="C44" s="503" t="s">
        <v>121</v>
      </c>
      <c r="D44" s="507"/>
      <c r="E44" s="507"/>
      <c r="F44" s="508"/>
      <c r="G44" s="79">
        <f>'[7]Hiv.'!$I$106</f>
        <v>378000</v>
      </c>
      <c r="H44" s="87">
        <v>0</v>
      </c>
      <c r="I44" s="92">
        <f>G44</f>
        <v>378000</v>
      </c>
      <c r="J44" s="78"/>
      <c r="K44" s="85">
        <f aca="true" t="shared" si="4" ref="K44:K50">G44</f>
        <v>378000</v>
      </c>
      <c r="L44" s="86"/>
    </row>
    <row r="45" spans="1:12" ht="15">
      <c r="A45" s="71" t="s">
        <v>125</v>
      </c>
      <c r="B45" s="14" t="s">
        <v>123</v>
      </c>
      <c r="C45" s="509" t="s">
        <v>124</v>
      </c>
      <c r="D45" s="510"/>
      <c r="E45" s="510"/>
      <c r="F45" s="511"/>
      <c r="G45" s="52">
        <f>G43+G44+G41+G42</f>
        <v>1778000</v>
      </c>
      <c r="H45" s="53"/>
      <c r="I45" s="276">
        <f>G45</f>
        <v>1778000</v>
      </c>
      <c r="J45" s="93"/>
      <c r="K45" s="94">
        <f t="shared" si="4"/>
        <v>1778000</v>
      </c>
      <c r="L45" s="72"/>
    </row>
    <row r="46" spans="1:12" ht="15">
      <c r="A46" s="5" t="s">
        <v>128</v>
      </c>
      <c r="B46" s="10" t="s">
        <v>126</v>
      </c>
      <c r="C46" s="503" t="s">
        <v>127</v>
      </c>
      <c r="D46" s="507"/>
      <c r="E46" s="507"/>
      <c r="F46" s="508"/>
      <c r="G46" s="89"/>
      <c r="H46" s="90"/>
      <c r="I46" s="78"/>
      <c r="J46" s="78"/>
      <c r="K46" s="85">
        <f t="shared" si="4"/>
        <v>0</v>
      </c>
      <c r="L46" s="86"/>
    </row>
    <row r="47" spans="1:12" ht="25.5">
      <c r="A47" s="5" t="s">
        <v>131</v>
      </c>
      <c r="B47" s="10" t="s">
        <v>129</v>
      </c>
      <c r="C47" s="503" t="s">
        <v>130</v>
      </c>
      <c r="D47" s="507"/>
      <c r="E47" s="507"/>
      <c r="F47" s="508"/>
      <c r="G47" s="79"/>
      <c r="H47" s="87"/>
      <c r="I47" s="78"/>
      <c r="J47" s="78"/>
      <c r="K47" s="85">
        <f t="shared" si="4"/>
        <v>0</v>
      </c>
      <c r="L47" s="86"/>
    </row>
    <row r="48" spans="1:12" ht="15">
      <c r="A48" s="71" t="s">
        <v>134</v>
      </c>
      <c r="B48" s="14" t="s">
        <v>132</v>
      </c>
      <c r="C48" s="509" t="s">
        <v>133</v>
      </c>
      <c r="D48" s="510"/>
      <c r="E48" s="510"/>
      <c r="F48" s="511"/>
      <c r="G48" s="88"/>
      <c r="H48" s="84"/>
      <c r="I48" s="84"/>
      <c r="J48" s="84"/>
      <c r="K48" s="95">
        <f t="shared" si="4"/>
        <v>0</v>
      </c>
      <c r="L48" s="72"/>
    </row>
    <row r="49" spans="1:12" ht="38.25">
      <c r="A49" s="5" t="s">
        <v>137</v>
      </c>
      <c r="B49" s="10" t="s">
        <v>135</v>
      </c>
      <c r="C49" s="503" t="s">
        <v>136</v>
      </c>
      <c r="D49" s="507"/>
      <c r="E49" s="507"/>
      <c r="F49" s="508"/>
      <c r="G49" s="79"/>
      <c r="H49" s="87"/>
      <c r="I49" s="78"/>
      <c r="J49" s="78"/>
      <c r="K49" s="85">
        <f t="shared" si="4"/>
        <v>0</v>
      </c>
      <c r="L49" s="86"/>
    </row>
    <row r="50" spans="1:12" ht="15">
      <c r="A50" s="71" t="s">
        <v>140</v>
      </c>
      <c r="B50" s="14" t="s">
        <v>138</v>
      </c>
      <c r="C50" s="509" t="s">
        <v>139</v>
      </c>
      <c r="D50" s="510"/>
      <c r="E50" s="510"/>
      <c r="F50" s="511"/>
      <c r="G50" s="88"/>
      <c r="H50" s="84"/>
      <c r="I50" s="84"/>
      <c r="J50" s="84"/>
      <c r="K50" s="95">
        <f t="shared" si="4"/>
        <v>0</v>
      </c>
      <c r="L50" s="72"/>
    </row>
    <row r="51" spans="1:12" ht="15">
      <c r="A51" s="71" t="s">
        <v>147</v>
      </c>
      <c r="B51" s="28" t="s">
        <v>141</v>
      </c>
      <c r="C51" s="506" t="s">
        <v>142</v>
      </c>
      <c r="D51" s="506"/>
      <c r="E51" s="506"/>
      <c r="F51" s="506"/>
      <c r="G51" s="88">
        <f>G19+G20+G33+G36+G40+G45+G48+G50</f>
        <v>146417470.54</v>
      </c>
      <c r="H51" s="88">
        <f>H19+H20+H33+H36+H40+H45+H48+H50</f>
        <v>144439470.54</v>
      </c>
      <c r="I51" s="88">
        <f>I19+I20+I33+I36+I40+I45+I48+I50</f>
        <v>1978000</v>
      </c>
      <c r="J51" s="88">
        <f>J19+J20+J33+J36+J40+J45+J48+J50</f>
        <v>0</v>
      </c>
      <c r="K51" s="94">
        <f>K50+K48+K45+K40+K36+K33+K20+K19</f>
        <v>107811229.03999999</v>
      </c>
      <c r="L51" s="88">
        <f>L19+L20+L33+L36+L40+L45+L48+L50</f>
        <v>38606241.5</v>
      </c>
    </row>
    <row r="52" spans="1:10" ht="15">
      <c r="A52" s="29"/>
      <c r="B52" s="2"/>
      <c r="C52" s="2"/>
      <c r="D52" s="2"/>
      <c r="E52" s="2"/>
      <c r="F52" s="2"/>
      <c r="G52" s="30"/>
      <c r="H52" s="30"/>
      <c r="I52" s="73"/>
      <c r="J52" s="73"/>
    </row>
    <row r="53" spans="1:10" ht="15">
      <c r="A53" s="523" t="s">
        <v>143</v>
      </c>
      <c r="B53" s="523"/>
      <c r="C53" s="523"/>
      <c r="D53" s="523"/>
      <c r="E53" s="523"/>
      <c r="F53" s="523"/>
      <c r="G53" s="523"/>
      <c r="H53" s="523"/>
      <c r="I53" s="96"/>
      <c r="J53" s="96"/>
    </row>
    <row r="54" spans="1:10" ht="15">
      <c r="A54" s="495" t="s">
        <v>3</v>
      </c>
      <c r="B54" s="496" t="s">
        <v>4</v>
      </c>
      <c r="C54" s="497" t="s">
        <v>5</v>
      </c>
      <c r="D54" s="497"/>
      <c r="E54" s="497"/>
      <c r="F54" s="497"/>
      <c r="G54" s="553" t="s">
        <v>144</v>
      </c>
      <c r="H54" s="97"/>
      <c r="I54" s="74"/>
      <c r="J54" s="74"/>
    </row>
    <row r="55" spans="1:10" ht="15">
      <c r="A55" s="495"/>
      <c r="B55" s="496"/>
      <c r="C55" s="497"/>
      <c r="D55" s="497"/>
      <c r="E55" s="497"/>
      <c r="F55" s="497"/>
      <c r="G55" s="553"/>
      <c r="H55" s="98"/>
      <c r="I55" s="73"/>
      <c r="J55" s="73"/>
    </row>
    <row r="56" spans="1:10" ht="25.5">
      <c r="A56" s="5" t="s">
        <v>140</v>
      </c>
      <c r="B56" s="19" t="s">
        <v>145</v>
      </c>
      <c r="C56" s="502" t="s">
        <v>146</v>
      </c>
      <c r="D56" s="502"/>
      <c r="E56" s="502"/>
      <c r="F56" s="502"/>
      <c r="G56" s="77"/>
      <c r="H56" s="77"/>
      <c r="I56" s="99"/>
      <c r="J56" s="99"/>
    </row>
    <row r="57" spans="1:10" ht="25.5">
      <c r="A57" s="5" t="s">
        <v>147</v>
      </c>
      <c r="B57" s="19" t="s">
        <v>148</v>
      </c>
      <c r="C57" s="502" t="s">
        <v>149</v>
      </c>
      <c r="D57" s="502"/>
      <c r="E57" s="502"/>
      <c r="F57" s="502"/>
      <c r="G57" s="77"/>
      <c r="H57" s="77"/>
      <c r="I57" s="99"/>
      <c r="J57" s="99"/>
    </row>
    <row r="58" spans="1:10" ht="15">
      <c r="A58" s="13" t="s">
        <v>150</v>
      </c>
      <c r="B58" s="28" t="s">
        <v>151</v>
      </c>
      <c r="C58" s="506" t="s">
        <v>152</v>
      </c>
      <c r="D58" s="506"/>
      <c r="E58" s="506"/>
      <c r="F58" s="506"/>
      <c r="G58" s="84">
        <f>SUM(G56:G57)</f>
        <v>0</v>
      </c>
      <c r="H58" s="84"/>
      <c r="I58" s="99"/>
      <c r="J58" s="99"/>
    </row>
    <row r="59" spans="1:10" ht="15">
      <c r="A59" s="36"/>
      <c r="B59" s="2"/>
      <c r="C59" s="2"/>
      <c r="D59" s="2"/>
      <c r="E59" s="2"/>
      <c r="F59" s="2"/>
      <c r="G59" s="30"/>
      <c r="H59" s="30"/>
      <c r="I59" s="73"/>
      <c r="J59" s="73"/>
    </row>
    <row r="60" spans="1:11" ht="15">
      <c r="A60" s="37"/>
      <c r="B60" s="38" t="s">
        <v>153</v>
      </c>
      <c r="C60" s="510"/>
      <c r="D60" s="510"/>
      <c r="E60" s="510"/>
      <c r="F60" s="510"/>
      <c r="G60" s="100">
        <f>G51+G58</f>
        <v>146417470.54</v>
      </c>
      <c r="H60" s="100"/>
      <c r="I60" s="277">
        <f>G60-'Hivatal bevétel'!G46</f>
        <v>-0.46000000834465027</v>
      </c>
      <c r="J60" s="73"/>
      <c r="K60" s="304"/>
    </row>
  </sheetData>
  <sheetProtection/>
  <mergeCells count="62">
    <mergeCell ref="C41:F41"/>
    <mergeCell ref="C42:F42"/>
    <mergeCell ref="H5:L5"/>
    <mergeCell ref="A1:L1"/>
    <mergeCell ref="C39:F39"/>
    <mergeCell ref="C40:F40"/>
    <mergeCell ref="C14:F14"/>
    <mergeCell ref="C15:F15"/>
    <mergeCell ref="C22:F22"/>
    <mergeCell ref="C27:F27"/>
    <mergeCell ref="C43:F43"/>
    <mergeCell ref="C44:F44"/>
    <mergeCell ref="C46:F46"/>
    <mergeCell ref="C47:F47"/>
    <mergeCell ref="C45:F45"/>
    <mergeCell ref="C48:F48"/>
    <mergeCell ref="C30:F30"/>
    <mergeCell ref="C34:F34"/>
    <mergeCell ref="C19:F19"/>
    <mergeCell ref="C20:F20"/>
    <mergeCell ref="C21:F21"/>
    <mergeCell ref="C23:F23"/>
    <mergeCell ref="C24:F24"/>
    <mergeCell ref="C25:F25"/>
    <mergeCell ref="C26:F26"/>
    <mergeCell ref="C28:F28"/>
    <mergeCell ref="A3:H3"/>
    <mergeCell ref="A4:H4"/>
    <mergeCell ref="A5:A6"/>
    <mergeCell ref="B5:B6"/>
    <mergeCell ref="C5:F6"/>
    <mergeCell ref="G5:G6"/>
    <mergeCell ref="C7:F7"/>
    <mergeCell ref="C11:F11"/>
    <mergeCell ref="C13:F13"/>
    <mergeCell ref="C16:F16"/>
    <mergeCell ref="C17:F17"/>
    <mergeCell ref="C18:F18"/>
    <mergeCell ref="C8:F8"/>
    <mergeCell ref="C9:F9"/>
    <mergeCell ref="C10:F10"/>
    <mergeCell ref="C12:F12"/>
    <mergeCell ref="C29:F29"/>
    <mergeCell ref="C31:F31"/>
    <mergeCell ref="C58:F58"/>
    <mergeCell ref="C60:F60"/>
    <mergeCell ref="C51:F51"/>
    <mergeCell ref="A53:H53"/>
    <mergeCell ref="A54:A55"/>
    <mergeCell ref="B54:B55"/>
    <mergeCell ref="C54:F55"/>
    <mergeCell ref="G54:G55"/>
    <mergeCell ref="C32:F32"/>
    <mergeCell ref="C33:F33"/>
    <mergeCell ref="C56:F56"/>
    <mergeCell ref="C57:F57"/>
    <mergeCell ref="C35:F35"/>
    <mergeCell ref="C36:F36"/>
    <mergeCell ref="C37:F37"/>
    <mergeCell ref="C38:F38"/>
    <mergeCell ref="C49:F49"/>
    <mergeCell ref="C50:F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C32" sqref="C32:F32"/>
    </sheetView>
  </sheetViews>
  <sheetFormatPr defaultColWidth="9.140625" defaultRowHeight="15"/>
  <cols>
    <col min="2" max="2" width="34.140625" style="0" customWidth="1"/>
    <col min="6" max="6" width="9.28125" style="0" customWidth="1"/>
    <col min="7" max="7" width="15.8515625" style="0" bestFit="1" customWidth="1"/>
    <col min="8" max="8" width="11.421875" style="0" bestFit="1" customWidth="1"/>
    <col min="9" max="9" width="9.8515625" style="0" bestFit="1" customWidth="1"/>
    <col min="11" max="12" width="10.8515625" style="0" bestFit="1" customWidth="1"/>
  </cols>
  <sheetData>
    <row r="1" spans="1:10" ht="15">
      <c r="A1" s="491" t="s">
        <v>231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513" t="s">
        <v>232</v>
      </c>
      <c r="B3" s="513"/>
      <c r="C3" s="513"/>
      <c r="D3" s="513"/>
      <c r="E3" s="513"/>
      <c r="F3" s="513"/>
      <c r="G3" s="513"/>
      <c r="H3" s="513"/>
      <c r="I3" s="513"/>
      <c r="J3" s="513"/>
    </row>
    <row r="4" spans="1:10" ht="15">
      <c r="A4" s="514" t="s">
        <v>155</v>
      </c>
      <c r="B4" s="515"/>
      <c r="C4" s="515"/>
      <c r="D4" s="515"/>
      <c r="E4" s="515"/>
      <c r="F4" s="515"/>
      <c r="G4" s="515"/>
      <c r="H4" s="515"/>
      <c r="I4" s="515"/>
      <c r="J4" s="515"/>
    </row>
    <row r="5" spans="1:10" ht="15" customHeight="1">
      <c r="A5" s="495" t="s">
        <v>3</v>
      </c>
      <c r="B5" s="496" t="s">
        <v>4</v>
      </c>
      <c r="C5" s="497" t="s">
        <v>5</v>
      </c>
      <c r="D5" s="497"/>
      <c r="E5" s="497"/>
      <c r="F5" s="497"/>
      <c r="G5" s="498" t="s">
        <v>144</v>
      </c>
      <c r="H5" s="499" t="s">
        <v>7</v>
      </c>
      <c r="I5" s="500"/>
      <c r="J5" s="501"/>
    </row>
    <row r="6" spans="1:10" ht="38.25">
      <c r="A6" s="495"/>
      <c r="B6" s="496"/>
      <c r="C6" s="497"/>
      <c r="D6" s="497"/>
      <c r="E6" s="497"/>
      <c r="F6" s="497"/>
      <c r="G6" s="498"/>
      <c r="H6" s="4" t="s">
        <v>8</v>
      </c>
      <c r="I6" s="4" t="s">
        <v>9</v>
      </c>
      <c r="J6" s="4" t="s">
        <v>10</v>
      </c>
    </row>
    <row r="7" spans="1:10" ht="25.5">
      <c r="A7" s="5" t="s">
        <v>11</v>
      </c>
      <c r="B7" s="6" t="s">
        <v>156</v>
      </c>
      <c r="C7" s="502" t="s">
        <v>157</v>
      </c>
      <c r="D7" s="502"/>
      <c r="E7" s="502"/>
      <c r="F7" s="502"/>
      <c r="G7" s="8"/>
      <c r="H7" s="9"/>
      <c r="I7" s="9"/>
      <c r="J7" s="9"/>
    </row>
    <row r="8" spans="1:10" ht="38.25">
      <c r="A8" s="5" t="s">
        <v>14</v>
      </c>
      <c r="B8" s="10" t="s">
        <v>158</v>
      </c>
      <c r="C8" s="502" t="s">
        <v>159</v>
      </c>
      <c r="D8" s="502"/>
      <c r="E8" s="502"/>
      <c r="F8" s="502"/>
      <c r="G8" s="8"/>
      <c r="H8" s="9"/>
      <c r="I8" s="9"/>
      <c r="J8" s="9"/>
    </row>
    <row r="9" spans="1:10" ht="38.25">
      <c r="A9" s="5" t="s">
        <v>17</v>
      </c>
      <c r="B9" s="10" t="s">
        <v>160</v>
      </c>
      <c r="C9" s="502" t="s">
        <v>161</v>
      </c>
      <c r="D9" s="502"/>
      <c r="E9" s="502"/>
      <c r="F9" s="502"/>
      <c r="G9" s="8"/>
      <c r="H9" s="9"/>
      <c r="I9" s="9"/>
      <c r="J9" s="9"/>
    </row>
    <row r="10" spans="1:10" ht="38.25">
      <c r="A10" s="5" t="s">
        <v>20</v>
      </c>
      <c r="B10" s="10" t="s">
        <v>162</v>
      </c>
      <c r="C10" s="7" t="s">
        <v>163</v>
      </c>
      <c r="D10" s="7"/>
      <c r="E10" s="7"/>
      <c r="F10" s="7"/>
      <c r="G10" s="8"/>
      <c r="H10" s="9"/>
      <c r="I10" s="9"/>
      <c r="J10" s="9"/>
    </row>
    <row r="11" spans="1:10" ht="51">
      <c r="A11" s="5" t="s">
        <v>23</v>
      </c>
      <c r="B11" s="10" t="s">
        <v>164</v>
      </c>
      <c r="C11" s="7" t="s">
        <v>165</v>
      </c>
      <c r="D11" s="7"/>
      <c r="E11" s="7"/>
      <c r="F11" s="7"/>
      <c r="G11" s="8"/>
      <c r="H11" s="9"/>
      <c r="I11" s="9"/>
      <c r="J11" s="9"/>
    </row>
    <row r="12" spans="1:10" ht="25.5">
      <c r="A12" s="5" t="s">
        <v>26</v>
      </c>
      <c r="B12" s="10" t="s">
        <v>166</v>
      </c>
      <c r="C12" s="502" t="s">
        <v>167</v>
      </c>
      <c r="D12" s="502"/>
      <c r="E12" s="502"/>
      <c r="F12" s="502"/>
      <c r="G12" s="8"/>
      <c r="H12" s="9"/>
      <c r="I12" s="9"/>
      <c r="J12" s="9"/>
    </row>
    <row r="13" spans="1:10" ht="15">
      <c r="A13" s="5" t="s">
        <v>29</v>
      </c>
      <c r="B13" s="10" t="s">
        <v>168</v>
      </c>
      <c r="C13" s="502" t="s">
        <v>169</v>
      </c>
      <c r="D13" s="502"/>
      <c r="E13" s="502"/>
      <c r="F13" s="502"/>
      <c r="G13" s="8"/>
      <c r="H13" s="9"/>
      <c r="I13" s="9"/>
      <c r="J13" s="9"/>
    </row>
    <row r="14" spans="1:10" ht="38.25">
      <c r="A14" s="5" t="s">
        <v>32</v>
      </c>
      <c r="B14" s="10" t="s">
        <v>170</v>
      </c>
      <c r="C14" s="502" t="s">
        <v>171</v>
      </c>
      <c r="D14" s="502"/>
      <c r="E14" s="502"/>
      <c r="F14" s="502"/>
      <c r="G14" s="8"/>
      <c r="H14" s="9"/>
      <c r="I14" s="9"/>
      <c r="J14" s="9"/>
    </row>
    <row r="15" spans="1:10" ht="38.25">
      <c r="A15" s="13" t="s">
        <v>35</v>
      </c>
      <c r="B15" s="14" t="s">
        <v>172</v>
      </c>
      <c r="C15" s="506" t="s">
        <v>173</v>
      </c>
      <c r="D15" s="506"/>
      <c r="E15" s="506"/>
      <c r="F15" s="506"/>
      <c r="G15" s="18">
        <f>SUM(G7:G14)</f>
        <v>0</v>
      </c>
      <c r="H15" s="17"/>
      <c r="I15" s="17"/>
      <c r="J15" s="17"/>
    </row>
    <row r="16" spans="1:10" ht="38.25">
      <c r="A16" s="5" t="s">
        <v>38</v>
      </c>
      <c r="B16" s="10" t="s">
        <v>174</v>
      </c>
      <c r="C16" s="502" t="s">
        <v>175</v>
      </c>
      <c r="D16" s="502"/>
      <c r="E16" s="502"/>
      <c r="F16" s="502"/>
      <c r="G16" s="8"/>
      <c r="H16" s="12"/>
      <c r="I16" s="12"/>
      <c r="J16" s="12"/>
    </row>
    <row r="17" spans="1:10" ht="38.25">
      <c r="A17" s="13" t="s">
        <v>41</v>
      </c>
      <c r="B17" s="14" t="s">
        <v>176</v>
      </c>
      <c r="C17" s="506" t="s">
        <v>177</v>
      </c>
      <c r="D17" s="506"/>
      <c r="E17" s="506"/>
      <c r="F17" s="506"/>
      <c r="G17" s="18">
        <f>SUM(G16)</f>
        <v>0</v>
      </c>
      <c r="H17" s="17"/>
      <c r="I17" s="17"/>
      <c r="J17" s="17"/>
    </row>
    <row r="18" spans="1:10" ht="15">
      <c r="A18" s="5" t="s">
        <v>44</v>
      </c>
      <c r="B18" s="10" t="s">
        <v>178</v>
      </c>
      <c r="C18" s="502" t="s">
        <v>179</v>
      </c>
      <c r="D18" s="502"/>
      <c r="E18" s="502"/>
      <c r="F18" s="502"/>
      <c r="G18" s="8"/>
      <c r="H18" s="9"/>
      <c r="I18" s="9"/>
      <c r="J18" s="9"/>
    </row>
    <row r="19" spans="1:10" ht="15">
      <c r="A19" s="5" t="s">
        <v>47</v>
      </c>
      <c r="B19" s="10" t="s">
        <v>180</v>
      </c>
      <c r="C19" s="502" t="s">
        <v>181</v>
      </c>
      <c r="D19" s="502"/>
      <c r="E19" s="502"/>
      <c r="F19" s="502"/>
      <c r="G19" s="8"/>
      <c r="H19" s="9"/>
      <c r="I19" s="9"/>
      <c r="J19" s="9"/>
    </row>
    <row r="20" spans="1:10" ht="15">
      <c r="A20" s="5" t="s">
        <v>50</v>
      </c>
      <c r="B20" s="10" t="s">
        <v>182</v>
      </c>
      <c r="C20" s="502" t="s">
        <v>183</v>
      </c>
      <c r="D20" s="502"/>
      <c r="E20" s="502"/>
      <c r="F20" s="502"/>
      <c r="G20" s="8"/>
      <c r="H20" s="9"/>
      <c r="I20" s="9"/>
      <c r="J20" s="9"/>
    </row>
    <row r="21" spans="1:10" ht="15">
      <c r="A21" s="5" t="s">
        <v>53</v>
      </c>
      <c r="B21" s="10" t="s">
        <v>184</v>
      </c>
      <c r="C21" s="502" t="s">
        <v>185</v>
      </c>
      <c r="D21" s="502"/>
      <c r="E21" s="502"/>
      <c r="F21" s="502"/>
      <c r="G21" s="8"/>
      <c r="H21" s="9"/>
      <c r="I21" s="9"/>
      <c r="J21" s="9"/>
    </row>
    <row r="22" spans="1:10" ht="25.5">
      <c r="A22" s="13" t="s">
        <v>56</v>
      </c>
      <c r="B22" s="14" t="s">
        <v>186</v>
      </c>
      <c r="C22" s="506" t="s">
        <v>187</v>
      </c>
      <c r="D22" s="506"/>
      <c r="E22" s="506"/>
      <c r="F22" s="506"/>
      <c r="G22" s="18">
        <f>SUM(G18:G21)</f>
        <v>0</v>
      </c>
      <c r="H22" s="17"/>
      <c r="I22" s="17"/>
      <c r="J22" s="17"/>
    </row>
    <row r="23" spans="1:10" ht="15">
      <c r="A23" s="5" t="s">
        <v>59</v>
      </c>
      <c r="B23" s="19" t="s">
        <v>188</v>
      </c>
      <c r="C23" s="502" t="s">
        <v>189</v>
      </c>
      <c r="D23" s="502"/>
      <c r="E23" s="502"/>
      <c r="F23" s="502"/>
      <c r="G23" s="8"/>
      <c r="H23" s="9"/>
      <c r="I23" s="9"/>
      <c r="J23" s="9"/>
    </row>
    <row r="24" spans="1:10" ht="15">
      <c r="A24" s="5" t="s">
        <v>62</v>
      </c>
      <c r="B24" s="19" t="s">
        <v>190</v>
      </c>
      <c r="C24" s="502" t="s">
        <v>191</v>
      </c>
      <c r="D24" s="502"/>
      <c r="E24" s="502"/>
      <c r="F24" s="502"/>
      <c r="G24" s="54">
        <f>'[3]Bev.Óvoda'!$E$39</f>
        <v>14656003.937007874</v>
      </c>
      <c r="H24" s="8">
        <v>0</v>
      </c>
      <c r="I24" s="8">
        <f>G24</f>
        <v>14656003.937007874</v>
      </c>
      <c r="J24" s="9"/>
    </row>
    <row r="25" spans="1:10" ht="25.5">
      <c r="A25" s="5" t="s">
        <v>65</v>
      </c>
      <c r="B25" s="19" t="s">
        <v>192</v>
      </c>
      <c r="C25" s="502" t="s">
        <v>193</v>
      </c>
      <c r="D25" s="502"/>
      <c r="E25" s="502"/>
      <c r="F25" s="502"/>
      <c r="G25" s="8"/>
      <c r="H25" s="9"/>
      <c r="I25" s="12"/>
      <c r="J25" s="9"/>
    </row>
    <row r="26" spans="1:10" ht="15">
      <c r="A26" s="5" t="s">
        <v>68</v>
      </c>
      <c r="B26" s="19" t="s">
        <v>194</v>
      </c>
      <c r="C26" s="502" t="s">
        <v>195</v>
      </c>
      <c r="D26" s="502"/>
      <c r="E26" s="502"/>
      <c r="F26" s="502"/>
      <c r="G26" s="8"/>
      <c r="H26" s="9"/>
      <c r="I26" s="9"/>
      <c r="J26" s="9"/>
    </row>
    <row r="27" spans="1:10" ht="15">
      <c r="A27" s="5" t="s">
        <v>71</v>
      </c>
      <c r="B27" s="19" t="s">
        <v>196</v>
      </c>
      <c r="C27" s="502" t="s">
        <v>197</v>
      </c>
      <c r="D27" s="502"/>
      <c r="E27" s="502"/>
      <c r="F27" s="502"/>
      <c r="G27" s="8">
        <f>'[7]Bev.Óvoda'!$E$40</f>
        <v>14585386.61417323</v>
      </c>
      <c r="H27" s="8">
        <f>G27</f>
        <v>14585386.61417323</v>
      </c>
      <c r="I27" s="9"/>
      <c r="J27" s="9"/>
    </row>
    <row r="28" spans="1:10" ht="15">
      <c r="A28" s="5" t="s">
        <v>74</v>
      </c>
      <c r="B28" s="19" t="s">
        <v>198</v>
      </c>
      <c r="C28" s="502" t="s">
        <v>199</v>
      </c>
      <c r="D28" s="502"/>
      <c r="E28" s="502"/>
      <c r="F28" s="502"/>
      <c r="G28" s="8">
        <f>(G24+G27)*0.27</f>
        <v>7895175.448818899</v>
      </c>
      <c r="H28" s="8">
        <f>H27*0.27</f>
        <v>3938054.385826772</v>
      </c>
      <c r="I28" s="8">
        <f>I24*0.27</f>
        <v>3957121.062992126</v>
      </c>
      <c r="J28" s="9"/>
    </row>
    <row r="29" spans="1:10" ht="15">
      <c r="A29" s="13" t="s">
        <v>77</v>
      </c>
      <c r="B29" s="41" t="s">
        <v>200</v>
      </c>
      <c r="C29" s="506" t="s">
        <v>201</v>
      </c>
      <c r="D29" s="506"/>
      <c r="E29" s="506"/>
      <c r="F29" s="506"/>
      <c r="G29" s="18">
        <f>SUM(G23:G28)</f>
        <v>37136566</v>
      </c>
      <c r="H29" s="18">
        <f>SUM(H23:H28)</f>
        <v>18523441</v>
      </c>
      <c r="I29" s="18">
        <f>SUM(I23:I28)</f>
        <v>18613125</v>
      </c>
      <c r="J29" s="17"/>
    </row>
    <row r="30" spans="1:10" ht="15">
      <c r="A30" s="42" t="s">
        <v>80</v>
      </c>
      <c r="B30" s="21" t="s">
        <v>202</v>
      </c>
      <c r="C30" s="7" t="s">
        <v>203</v>
      </c>
      <c r="D30" s="22"/>
      <c r="E30" s="22"/>
      <c r="F30" s="22"/>
      <c r="G30" s="47"/>
      <c r="H30" s="9"/>
      <c r="I30" s="9"/>
      <c r="J30" s="9"/>
    </row>
    <row r="31" spans="1:10" ht="15">
      <c r="A31" s="13" t="s">
        <v>83</v>
      </c>
      <c r="B31" s="41" t="s">
        <v>204</v>
      </c>
      <c r="C31" s="69" t="s">
        <v>203</v>
      </c>
      <c r="D31" s="69"/>
      <c r="E31" s="69"/>
      <c r="F31" s="69"/>
      <c r="G31" s="18"/>
      <c r="H31" s="17"/>
      <c r="I31" s="17"/>
      <c r="J31" s="17"/>
    </row>
    <row r="32" spans="1:10" ht="38.25">
      <c r="A32" s="5" t="s">
        <v>86</v>
      </c>
      <c r="B32" s="10" t="s">
        <v>206</v>
      </c>
      <c r="C32" s="502" t="s">
        <v>207</v>
      </c>
      <c r="D32" s="502"/>
      <c r="E32" s="502"/>
      <c r="F32" s="502"/>
      <c r="G32" s="8"/>
      <c r="H32" s="9"/>
      <c r="I32" s="9"/>
      <c r="J32" s="9"/>
    </row>
    <row r="33" spans="1:10" ht="15">
      <c r="A33" s="13" t="s">
        <v>89</v>
      </c>
      <c r="B33" s="14" t="s">
        <v>208</v>
      </c>
      <c r="C33" s="506" t="s">
        <v>209</v>
      </c>
      <c r="D33" s="506"/>
      <c r="E33" s="506"/>
      <c r="F33" s="506"/>
      <c r="G33" s="18">
        <f>SUM(G32)</f>
        <v>0</v>
      </c>
      <c r="H33" s="17"/>
      <c r="I33" s="17"/>
      <c r="J33" s="17"/>
    </row>
    <row r="34" spans="1:10" ht="25.5">
      <c r="A34" s="5" t="s">
        <v>92</v>
      </c>
      <c r="B34" s="10" t="s">
        <v>210</v>
      </c>
      <c r="C34" s="22" t="s">
        <v>211</v>
      </c>
      <c r="D34" s="22"/>
      <c r="E34" s="22"/>
      <c r="F34" s="22"/>
      <c r="G34" s="47"/>
      <c r="H34" s="9"/>
      <c r="I34" s="9"/>
      <c r="J34" s="9"/>
    </row>
    <row r="35" spans="1:10" ht="15">
      <c r="A35" s="13" t="s">
        <v>95</v>
      </c>
      <c r="B35" s="14" t="s">
        <v>212</v>
      </c>
      <c r="C35" s="506" t="s">
        <v>213</v>
      </c>
      <c r="D35" s="506"/>
      <c r="E35" s="506"/>
      <c r="F35" s="506"/>
      <c r="G35" s="18">
        <f>SUM(G34)</f>
        <v>0</v>
      </c>
      <c r="H35" s="48"/>
      <c r="I35" s="48"/>
      <c r="J35" s="48"/>
    </row>
    <row r="36" spans="1:10" ht="25.5">
      <c r="A36" s="13" t="s">
        <v>98</v>
      </c>
      <c r="B36" s="28" t="s">
        <v>214</v>
      </c>
      <c r="C36" s="506" t="s">
        <v>215</v>
      </c>
      <c r="D36" s="506"/>
      <c r="E36" s="506"/>
      <c r="F36" s="506"/>
      <c r="G36" s="18">
        <f>G15+G17+G22+G29+G33+G35</f>
        <v>37136566</v>
      </c>
      <c r="H36" s="18">
        <f>H35+H33+H31+H29+H22+H17+H15</f>
        <v>18523441</v>
      </c>
      <c r="I36" s="18">
        <f>I35+I33+I31+I29+I22+I17+I15</f>
        <v>18613125</v>
      </c>
      <c r="J36" s="17"/>
    </row>
    <row r="37" spans="1:10" ht="15">
      <c r="A37" s="29"/>
      <c r="B37" s="2"/>
      <c r="C37" s="2"/>
      <c r="D37" s="2"/>
      <c r="E37" s="2"/>
      <c r="F37" s="2"/>
      <c r="G37" s="30"/>
      <c r="H37" s="2"/>
      <c r="I37" s="2"/>
      <c r="J37" s="2"/>
    </row>
    <row r="38" spans="1:10" ht="15">
      <c r="A38" s="523" t="s">
        <v>216</v>
      </c>
      <c r="B38" s="523"/>
      <c r="C38" s="523"/>
      <c r="D38" s="523"/>
      <c r="E38" s="523"/>
      <c r="F38" s="523"/>
      <c r="G38" s="523"/>
      <c r="H38" s="556"/>
      <c r="I38" s="556"/>
      <c r="J38" s="556"/>
    </row>
    <row r="39" spans="1:10" ht="15" customHeight="1">
      <c r="A39" s="495" t="s">
        <v>3</v>
      </c>
      <c r="B39" s="496" t="s">
        <v>4</v>
      </c>
      <c r="C39" s="497" t="s">
        <v>5</v>
      </c>
      <c r="D39" s="497"/>
      <c r="E39" s="497"/>
      <c r="F39" s="497"/>
      <c r="G39" s="498" t="s">
        <v>144</v>
      </c>
      <c r="H39" s="557"/>
      <c r="I39" s="557"/>
      <c r="J39" s="557"/>
    </row>
    <row r="40" spans="1:10" ht="15">
      <c r="A40" s="495"/>
      <c r="B40" s="496"/>
      <c r="C40" s="497"/>
      <c r="D40" s="497"/>
      <c r="E40" s="497"/>
      <c r="F40" s="497"/>
      <c r="G40" s="498"/>
      <c r="H40" s="299"/>
      <c r="I40" s="299"/>
      <c r="J40" s="299"/>
    </row>
    <row r="41" spans="1:12" ht="25.5">
      <c r="A41" s="5" t="s">
        <v>101</v>
      </c>
      <c r="B41" s="19" t="s">
        <v>217</v>
      </c>
      <c r="C41" s="502" t="s">
        <v>218</v>
      </c>
      <c r="D41" s="502"/>
      <c r="E41" s="502"/>
      <c r="F41" s="502"/>
      <c r="G41" s="8">
        <f>4821902+56300</f>
        <v>4878202</v>
      </c>
      <c r="H41" s="300"/>
      <c r="I41" s="297"/>
      <c r="J41" s="297"/>
      <c r="L41" s="61"/>
    </row>
    <row r="42" spans="1:12" ht="15">
      <c r="A42" s="5" t="s">
        <v>104</v>
      </c>
      <c r="B42" s="19" t="s">
        <v>219</v>
      </c>
      <c r="C42" s="502" t="s">
        <v>220</v>
      </c>
      <c r="D42" s="502"/>
      <c r="E42" s="502"/>
      <c r="F42" s="502"/>
      <c r="G42" s="8"/>
      <c r="H42" s="297"/>
      <c r="I42" s="297"/>
      <c r="J42" s="297"/>
      <c r="L42" s="61"/>
    </row>
    <row r="43" spans="1:12" ht="15">
      <c r="A43" s="5" t="s">
        <v>107</v>
      </c>
      <c r="B43" s="19" t="s">
        <v>221</v>
      </c>
      <c r="C43" s="43" t="s">
        <v>222</v>
      </c>
      <c r="D43" s="44"/>
      <c r="E43" s="44"/>
      <c r="F43" s="45"/>
      <c r="G43" s="8">
        <v>225846946</v>
      </c>
      <c r="H43" s="300"/>
      <c r="I43" s="330"/>
      <c r="J43" s="330"/>
      <c r="L43" s="61"/>
    </row>
    <row r="44" spans="1:10" ht="15">
      <c r="A44" s="13" t="s">
        <v>110</v>
      </c>
      <c r="B44" s="28" t="s">
        <v>223</v>
      </c>
      <c r="C44" s="509" t="s">
        <v>224</v>
      </c>
      <c r="D44" s="510"/>
      <c r="E44" s="510"/>
      <c r="F44" s="511"/>
      <c r="G44" s="18">
        <f>SUM(G41:G43)</f>
        <v>230725148</v>
      </c>
      <c r="H44" s="301"/>
      <c r="I44" s="330"/>
      <c r="J44" s="297"/>
    </row>
    <row r="45" spans="1:10" ht="15">
      <c r="A45" s="36"/>
      <c r="B45" s="2"/>
      <c r="C45" s="2"/>
      <c r="D45" s="2"/>
      <c r="E45" s="2"/>
      <c r="F45" s="2"/>
      <c r="G45" s="30"/>
      <c r="H45" s="297"/>
      <c r="I45" s="297"/>
      <c r="J45" s="297"/>
    </row>
    <row r="46" spans="1:11" ht="15">
      <c r="A46" s="37"/>
      <c r="B46" s="38" t="s">
        <v>225</v>
      </c>
      <c r="C46" s="510"/>
      <c r="D46" s="510"/>
      <c r="E46" s="510"/>
      <c r="F46" s="510"/>
      <c r="G46" s="303">
        <f>G36+G44</f>
        <v>267861714</v>
      </c>
      <c r="H46" s="301">
        <f>G46-'Óvoda kiad.'!G59</f>
        <v>-0.4100000262260437</v>
      </c>
      <c r="I46" s="297"/>
      <c r="J46" s="297"/>
      <c r="K46" s="61"/>
    </row>
    <row r="47" spans="8:10" ht="15">
      <c r="H47" s="298"/>
      <c r="I47" s="298"/>
      <c r="J47" s="298"/>
    </row>
  </sheetData>
  <sheetProtection/>
  <mergeCells count="43">
    <mergeCell ref="C7:F7"/>
    <mergeCell ref="A1:J1"/>
    <mergeCell ref="A3:J3"/>
    <mergeCell ref="A4:J4"/>
    <mergeCell ref="A5:A6"/>
    <mergeCell ref="B5:B6"/>
    <mergeCell ref="C5:F6"/>
    <mergeCell ref="G5:G6"/>
    <mergeCell ref="H5:J5"/>
    <mergeCell ref="C15:F15"/>
    <mergeCell ref="C16:F16"/>
    <mergeCell ref="C8:F8"/>
    <mergeCell ref="C9:F9"/>
    <mergeCell ref="C12:F12"/>
    <mergeCell ref="C13:F13"/>
    <mergeCell ref="C14:F14"/>
    <mergeCell ref="C33:F33"/>
    <mergeCell ref="C17:F17"/>
    <mergeCell ref="C18:F18"/>
    <mergeCell ref="C19:F19"/>
    <mergeCell ref="C20:F20"/>
    <mergeCell ref="C21:F21"/>
    <mergeCell ref="C22:F22"/>
    <mergeCell ref="C39:F40"/>
    <mergeCell ref="C23:F23"/>
    <mergeCell ref="C24:F24"/>
    <mergeCell ref="C25:F25"/>
    <mergeCell ref="C26:F26"/>
    <mergeCell ref="H39:J39"/>
    <mergeCell ref="C27:F27"/>
    <mergeCell ref="C28:F28"/>
    <mergeCell ref="C29:F29"/>
    <mergeCell ref="C32:F32"/>
    <mergeCell ref="G39:G40"/>
    <mergeCell ref="C35:F35"/>
    <mergeCell ref="C41:F41"/>
    <mergeCell ref="C42:F42"/>
    <mergeCell ref="C44:F44"/>
    <mergeCell ref="C46:F46"/>
    <mergeCell ref="C36:F36"/>
    <mergeCell ref="A38:J38"/>
    <mergeCell ref="A39:A40"/>
    <mergeCell ref="B39:B40"/>
  </mergeCells>
  <printOptions/>
  <pageMargins left="0.7" right="0.7" top="0.75" bottom="0.75" header="0.3" footer="0.3"/>
  <pageSetup horizontalDpi="600" verticalDpi="600" orientation="portrait" paperSize="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1">
      <selection activeCell="N29" sqref="N29"/>
    </sheetView>
  </sheetViews>
  <sheetFormatPr defaultColWidth="9.140625" defaultRowHeight="15"/>
  <cols>
    <col min="2" max="2" width="34.28125" style="0" customWidth="1"/>
    <col min="7" max="7" width="15.8515625" style="0" bestFit="1" customWidth="1"/>
    <col min="8" max="8" width="10.8515625" style="0" bestFit="1" customWidth="1"/>
    <col min="9" max="9" width="9.8515625" style="0" bestFit="1" customWidth="1"/>
    <col min="10" max="10" width="6.28125" style="0" bestFit="1" customWidth="1"/>
    <col min="13" max="13" width="16.140625" style="0" bestFit="1" customWidth="1"/>
    <col min="14" max="14" width="10.7109375" style="0" bestFit="1" customWidth="1"/>
    <col min="15" max="15" width="15.28125" style="0" bestFit="1" customWidth="1"/>
  </cols>
  <sheetData>
    <row r="1" spans="1:17" ht="15">
      <c r="A1" s="491" t="s">
        <v>233</v>
      </c>
      <c r="B1" s="491"/>
      <c r="C1" s="491"/>
      <c r="D1" s="491"/>
      <c r="E1" s="491"/>
      <c r="F1" s="491"/>
      <c r="G1" s="491"/>
      <c r="H1" s="2"/>
      <c r="I1" s="2"/>
      <c r="J1" s="2"/>
      <c r="K1" s="2"/>
      <c r="L1" s="2"/>
      <c r="M1" s="261"/>
      <c r="N1" s="261"/>
      <c r="O1" s="261"/>
      <c r="P1" s="2"/>
      <c r="Q1" s="2"/>
    </row>
    <row r="2" spans="1:17" ht="1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61"/>
      <c r="N2" s="261"/>
      <c r="O2" s="261"/>
      <c r="P2" s="2"/>
      <c r="Q2" s="2"/>
    </row>
    <row r="3" spans="1:17" ht="15">
      <c r="A3" s="513" t="s">
        <v>232</v>
      </c>
      <c r="B3" s="513"/>
      <c r="C3" s="513"/>
      <c r="D3" s="513"/>
      <c r="E3" s="513"/>
      <c r="F3" s="513"/>
      <c r="G3" s="513"/>
      <c r="H3" s="3"/>
      <c r="I3" s="3"/>
      <c r="J3" s="3"/>
      <c r="K3" s="3"/>
      <c r="L3" s="3"/>
      <c r="M3" s="262"/>
      <c r="N3" s="262"/>
      <c r="O3" s="262"/>
      <c r="P3" s="3"/>
      <c r="Q3" s="3"/>
    </row>
    <row r="4" spans="1:17" ht="15">
      <c r="A4" s="514" t="s">
        <v>2</v>
      </c>
      <c r="B4" s="515"/>
      <c r="C4" s="515"/>
      <c r="D4" s="515"/>
      <c r="E4" s="515"/>
      <c r="F4" s="515"/>
      <c r="G4" s="515"/>
      <c r="H4" s="3"/>
      <c r="I4" s="3"/>
      <c r="J4" s="3"/>
      <c r="K4" s="3"/>
      <c r="L4" s="3"/>
      <c r="M4" s="262"/>
      <c r="N4" s="262"/>
      <c r="O4" s="262"/>
      <c r="P4" s="3"/>
      <c r="Q4" s="3"/>
    </row>
    <row r="5" spans="1:17" ht="15" customHeight="1">
      <c r="A5" s="495" t="s">
        <v>3</v>
      </c>
      <c r="B5" s="496" t="s">
        <v>4</v>
      </c>
      <c r="C5" s="497" t="s">
        <v>5</v>
      </c>
      <c r="D5" s="497"/>
      <c r="E5" s="497"/>
      <c r="F5" s="497"/>
      <c r="G5" s="498" t="s">
        <v>144</v>
      </c>
      <c r="H5" s="499" t="s">
        <v>7</v>
      </c>
      <c r="I5" s="500"/>
      <c r="J5" s="501"/>
      <c r="K5" s="3"/>
      <c r="L5" s="3"/>
      <c r="M5" s="262"/>
      <c r="N5" s="262"/>
      <c r="O5" s="262"/>
      <c r="P5" s="3"/>
      <c r="Q5" s="3"/>
    </row>
    <row r="6" spans="1:17" ht="38.25">
      <c r="A6" s="495"/>
      <c r="B6" s="496"/>
      <c r="C6" s="497"/>
      <c r="D6" s="497"/>
      <c r="E6" s="497"/>
      <c r="F6" s="497"/>
      <c r="G6" s="498"/>
      <c r="H6" s="4" t="s">
        <v>8</v>
      </c>
      <c r="I6" s="4" t="s">
        <v>9</v>
      </c>
      <c r="J6" s="4" t="s">
        <v>10</v>
      </c>
      <c r="K6" s="2"/>
      <c r="L6" s="2"/>
      <c r="M6" s="261"/>
      <c r="N6" s="261"/>
      <c r="O6" s="261"/>
      <c r="P6" s="2"/>
      <c r="Q6" s="2"/>
    </row>
    <row r="7" spans="1:17" ht="15">
      <c r="A7" s="5" t="s">
        <v>11</v>
      </c>
      <c r="B7" s="6" t="s">
        <v>12</v>
      </c>
      <c r="C7" s="503" t="s">
        <v>13</v>
      </c>
      <c r="D7" s="507"/>
      <c r="E7" s="507"/>
      <c r="F7" s="508"/>
      <c r="G7" s="8">
        <v>144439793</v>
      </c>
      <c r="H7" s="8">
        <f>G7</f>
        <v>144439793</v>
      </c>
      <c r="I7" s="8"/>
      <c r="J7" s="9"/>
      <c r="K7" s="2"/>
      <c r="L7" s="2"/>
      <c r="M7" s="400"/>
      <c r="N7" s="400"/>
      <c r="O7" s="400"/>
      <c r="P7" s="416"/>
      <c r="Q7" s="2"/>
    </row>
    <row r="8" spans="1:17" ht="15">
      <c r="A8" s="5" t="s">
        <v>14</v>
      </c>
      <c r="B8" s="6" t="s">
        <v>15</v>
      </c>
      <c r="C8" s="7" t="s">
        <v>16</v>
      </c>
      <c r="D8" s="7"/>
      <c r="E8" s="7"/>
      <c r="F8" s="7"/>
      <c r="G8" s="8">
        <f>'[7]Ovi'!$I$98</f>
        <v>6784000</v>
      </c>
      <c r="H8" s="8">
        <v>0</v>
      </c>
      <c r="I8" s="8">
        <f>G8</f>
        <v>6784000</v>
      </c>
      <c r="J8" s="9"/>
      <c r="K8" s="2"/>
      <c r="L8" s="2"/>
      <c r="M8" s="417"/>
      <c r="N8" s="417"/>
      <c r="O8" s="398"/>
      <c r="P8" s="418"/>
      <c r="Q8" s="2"/>
    </row>
    <row r="9" spans="1:17" ht="25.5">
      <c r="A9" s="5" t="s">
        <v>17</v>
      </c>
      <c r="B9" s="6" t="s">
        <v>234</v>
      </c>
      <c r="C9" s="7" t="s">
        <v>19</v>
      </c>
      <c r="D9" s="7"/>
      <c r="E9" s="7"/>
      <c r="F9" s="7"/>
      <c r="G9" s="8"/>
      <c r="H9" s="8">
        <f aca="true" t="shared" si="0" ref="H9:H17">G9</f>
        <v>0</v>
      </c>
      <c r="I9" s="9"/>
      <c r="J9" s="9"/>
      <c r="K9" s="2"/>
      <c r="L9" s="2"/>
      <c r="M9" s="417"/>
      <c r="N9" s="417"/>
      <c r="O9" s="398"/>
      <c r="P9" s="418"/>
      <c r="Q9" s="2"/>
    </row>
    <row r="10" spans="1:17" ht="15">
      <c r="A10" s="5" t="s">
        <v>20</v>
      </c>
      <c r="B10" s="6" t="s">
        <v>21</v>
      </c>
      <c r="C10" s="7" t="s">
        <v>22</v>
      </c>
      <c r="D10" s="7"/>
      <c r="E10" s="7"/>
      <c r="F10" s="7"/>
      <c r="G10" s="8">
        <f>'[7]Ovi'!$I$77</f>
        <v>5963224</v>
      </c>
      <c r="H10" s="8">
        <f t="shared" si="0"/>
        <v>5963224</v>
      </c>
      <c r="I10" s="9"/>
      <c r="J10" s="9"/>
      <c r="K10" s="2"/>
      <c r="L10" s="2"/>
      <c r="M10" s="417"/>
      <c r="N10" s="417"/>
      <c r="O10" s="398"/>
      <c r="P10" s="418"/>
      <c r="Q10" s="2"/>
    </row>
    <row r="11" spans="1:17" ht="15">
      <c r="A11" s="5" t="s">
        <v>23</v>
      </c>
      <c r="B11" s="10" t="s">
        <v>24</v>
      </c>
      <c r="C11" s="502" t="s">
        <v>25</v>
      </c>
      <c r="D11" s="502"/>
      <c r="E11" s="502"/>
      <c r="F11" s="502"/>
      <c r="G11" s="8">
        <v>3520000</v>
      </c>
      <c r="H11" s="8">
        <f t="shared" si="0"/>
        <v>3520000</v>
      </c>
      <c r="I11" s="9"/>
      <c r="J11" s="9"/>
      <c r="K11" s="2"/>
      <c r="L11" s="2"/>
      <c r="M11" s="417"/>
      <c r="N11" s="417"/>
      <c r="O11" s="398"/>
      <c r="P11" s="418"/>
      <c r="Q11" s="2"/>
    </row>
    <row r="12" spans="1:17" ht="15">
      <c r="A12" s="5" t="s">
        <v>26</v>
      </c>
      <c r="B12" s="10" t="s">
        <v>27</v>
      </c>
      <c r="C12" s="7" t="s">
        <v>28</v>
      </c>
      <c r="D12" s="7"/>
      <c r="E12" s="7"/>
      <c r="F12" s="7"/>
      <c r="G12" s="8">
        <f>'[7]Ovi'!$I$79</f>
        <v>0</v>
      </c>
      <c r="H12" s="8">
        <f t="shared" si="0"/>
        <v>0</v>
      </c>
      <c r="I12" s="9"/>
      <c r="J12" s="9"/>
      <c r="K12" s="2"/>
      <c r="L12" s="2"/>
      <c r="M12" s="419"/>
      <c r="N12" s="417"/>
      <c r="O12" s="398"/>
      <c r="P12" s="418"/>
      <c r="Q12" s="2"/>
    </row>
    <row r="13" spans="1:17" ht="15">
      <c r="A13" s="5" t="s">
        <v>29</v>
      </c>
      <c r="B13" s="10" t="s">
        <v>30</v>
      </c>
      <c r="C13" s="502" t="s">
        <v>31</v>
      </c>
      <c r="D13" s="502"/>
      <c r="E13" s="502"/>
      <c r="F13" s="502"/>
      <c r="G13" s="8">
        <v>1553880</v>
      </c>
      <c r="H13" s="8">
        <f t="shared" si="0"/>
        <v>1553880</v>
      </c>
      <c r="I13" s="9"/>
      <c r="J13" s="9"/>
      <c r="K13" s="2"/>
      <c r="L13" s="2"/>
      <c r="M13" s="417"/>
      <c r="N13" s="417"/>
      <c r="O13" s="417"/>
      <c r="P13" s="418"/>
      <c r="Q13" s="2"/>
    </row>
    <row r="14" spans="1:17" ht="15">
      <c r="A14" s="5" t="s">
        <v>32</v>
      </c>
      <c r="B14" s="10" t="s">
        <v>33</v>
      </c>
      <c r="C14" s="7" t="s">
        <v>34</v>
      </c>
      <c r="D14" s="7"/>
      <c r="E14" s="7"/>
      <c r="F14" s="7"/>
      <c r="G14" s="8">
        <f>'[7]Ovi'!$I$81</f>
        <v>0</v>
      </c>
      <c r="H14" s="8">
        <v>0</v>
      </c>
      <c r="I14" s="8">
        <f>G14</f>
        <v>0</v>
      </c>
      <c r="J14" s="9"/>
      <c r="K14" s="2"/>
      <c r="L14" s="2"/>
      <c r="M14" s="417"/>
      <c r="N14" s="417"/>
      <c r="O14" s="417"/>
      <c r="P14" s="418"/>
      <c r="Q14" s="2"/>
    </row>
    <row r="15" spans="1:17" ht="15">
      <c r="A15" s="5" t="s">
        <v>35</v>
      </c>
      <c r="B15" s="10" t="s">
        <v>36</v>
      </c>
      <c r="C15" s="7" t="s">
        <v>37</v>
      </c>
      <c r="D15" s="7"/>
      <c r="E15" s="7"/>
      <c r="F15" s="7"/>
      <c r="G15" s="8">
        <v>0</v>
      </c>
      <c r="H15" s="8">
        <f t="shared" si="0"/>
        <v>0</v>
      </c>
      <c r="I15" s="9"/>
      <c r="J15" s="9"/>
      <c r="K15" s="2"/>
      <c r="L15" s="2"/>
      <c r="M15" s="417"/>
      <c r="N15" s="417"/>
      <c r="O15" s="417"/>
      <c r="P15" s="418"/>
      <c r="Q15" s="2"/>
    </row>
    <row r="16" spans="1:17" ht="15">
      <c r="A16" s="5" t="s">
        <v>38</v>
      </c>
      <c r="B16" s="10" t="s">
        <v>39</v>
      </c>
      <c r="C16" s="502" t="s">
        <v>40</v>
      </c>
      <c r="D16" s="502"/>
      <c r="E16" s="502"/>
      <c r="F16" s="502"/>
      <c r="G16" s="8"/>
      <c r="H16" s="8">
        <f t="shared" si="0"/>
        <v>0</v>
      </c>
      <c r="I16" s="9"/>
      <c r="J16" s="9"/>
      <c r="K16" s="2"/>
      <c r="L16" s="2"/>
      <c r="M16" s="417"/>
      <c r="N16" s="417"/>
      <c r="O16" s="419"/>
      <c r="P16" s="418"/>
      <c r="Q16" s="2"/>
    </row>
    <row r="17" spans="1:17" ht="38.25">
      <c r="A17" s="5" t="s">
        <v>41</v>
      </c>
      <c r="B17" s="10" t="s">
        <v>42</v>
      </c>
      <c r="C17" s="502" t="s">
        <v>43</v>
      </c>
      <c r="D17" s="502"/>
      <c r="E17" s="502"/>
      <c r="F17" s="502"/>
      <c r="G17" s="11">
        <v>3677500</v>
      </c>
      <c r="H17" s="8">
        <f t="shared" si="0"/>
        <v>3677500</v>
      </c>
      <c r="I17" s="12"/>
      <c r="J17" s="12"/>
      <c r="K17" s="34"/>
      <c r="L17" s="34"/>
      <c r="M17" s="420"/>
      <c r="N17" s="420"/>
      <c r="O17" s="420"/>
      <c r="P17" s="297"/>
      <c r="Q17" s="34"/>
    </row>
    <row r="18" spans="1:17" ht="15">
      <c r="A18" s="5" t="s">
        <v>44</v>
      </c>
      <c r="B18" s="10" t="s">
        <v>45</v>
      </c>
      <c r="C18" s="502" t="s">
        <v>46</v>
      </c>
      <c r="D18" s="502"/>
      <c r="E18" s="502"/>
      <c r="F18" s="502"/>
      <c r="G18" s="8">
        <f>0</f>
        <v>0</v>
      </c>
      <c r="H18" s="8">
        <v>0</v>
      </c>
      <c r="I18" s="9"/>
      <c r="J18" s="9"/>
      <c r="K18" s="2"/>
      <c r="L18" s="2"/>
      <c r="M18" s="417"/>
      <c r="N18" s="417"/>
      <c r="O18" s="417"/>
      <c r="P18" s="418"/>
      <c r="Q18" s="2"/>
    </row>
    <row r="19" spans="1:17" ht="15">
      <c r="A19" s="13" t="s">
        <v>47</v>
      </c>
      <c r="B19" s="14" t="s">
        <v>48</v>
      </c>
      <c r="C19" s="506" t="s">
        <v>49</v>
      </c>
      <c r="D19" s="506"/>
      <c r="E19" s="506"/>
      <c r="F19" s="506"/>
      <c r="G19" s="15">
        <f>SUM(G7:G18)</f>
        <v>165938397</v>
      </c>
      <c r="H19" s="15">
        <f>SUM(H7:H18)</f>
        <v>159154397</v>
      </c>
      <c r="I19" s="15">
        <f>SUM(I7:I18)</f>
        <v>6784000</v>
      </c>
      <c r="J19" s="15">
        <f>SUM(J7:J18)</f>
        <v>0</v>
      </c>
      <c r="K19" s="34"/>
      <c r="L19" s="34"/>
      <c r="M19" s="265"/>
      <c r="N19" s="265"/>
      <c r="O19" s="265"/>
      <c r="P19" s="34"/>
      <c r="Q19" s="34"/>
    </row>
    <row r="20" spans="1:17" ht="25.5">
      <c r="A20" s="13" t="s">
        <v>50</v>
      </c>
      <c r="B20" s="14" t="s">
        <v>51</v>
      </c>
      <c r="C20" s="506" t="s">
        <v>52</v>
      </c>
      <c r="D20" s="506"/>
      <c r="E20" s="506"/>
      <c r="F20" s="506"/>
      <c r="G20" s="18">
        <f>((G7+G8+G10+G11+G17)*0.13)+G11*0.15</f>
        <v>21897987.21</v>
      </c>
      <c r="H20" s="18">
        <f>((H7+H8+H10+H11+H17)*0.13)+H11*0.15</f>
        <v>21016067.21</v>
      </c>
      <c r="I20" s="18">
        <f>((I7+I8+I10+I11+I17)*0.13)+I11*0.15</f>
        <v>881920</v>
      </c>
      <c r="J20" s="18">
        <v>0</v>
      </c>
      <c r="K20" s="34"/>
      <c r="L20" s="34"/>
      <c r="M20" s="265"/>
      <c r="N20" s="265"/>
      <c r="O20" s="265"/>
      <c r="P20" s="34"/>
      <c r="Q20" s="34"/>
    </row>
    <row r="21" spans="1:17" ht="15">
      <c r="A21" s="5" t="s">
        <v>53</v>
      </c>
      <c r="B21" s="10" t="s">
        <v>54</v>
      </c>
      <c r="C21" s="502" t="s">
        <v>55</v>
      </c>
      <c r="D21" s="502"/>
      <c r="E21" s="502"/>
      <c r="F21" s="502"/>
      <c r="G21" s="55">
        <v>400000</v>
      </c>
      <c r="H21" s="56">
        <f>G21</f>
        <v>400000</v>
      </c>
      <c r="I21" s="9"/>
      <c r="J21" s="9"/>
      <c r="K21" s="2"/>
      <c r="L21" s="2"/>
      <c r="M21" s="261"/>
      <c r="N21" s="261"/>
      <c r="O21" s="261"/>
      <c r="P21" s="2"/>
      <c r="Q21" s="2"/>
    </row>
    <row r="22" spans="1:17" ht="15">
      <c r="A22" s="5" t="s">
        <v>56</v>
      </c>
      <c r="B22" s="10" t="s">
        <v>57</v>
      </c>
      <c r="C22" s="7" t="s">
        <v>58</v>
      </c>
      <c r="D22" s="7"/>
      <c r="E22" s="7"/>
      <c r="F22" s="7"/>
      <c r="G22" s="55">
        <v>49000000</v>
      </c>
      <c r="H22" s="56">
        <f aca="true" t="shared" si="1" ref="H22:H32">G22</f>
        <v>49000000</v>
      </c>
      <c r="I22" s="9"/>
      <c r="J22" s="9"/>
      <c r="K22" s="2" t="s">
        <v>390</v>
      </c>
      <c r="L22" s="2"/>
      <c r="M22" s="261"/>
      <c r="N22" s="261"/>
      <c r="O22" s="261"/>
      <c r="P22" s="2"/>
      <c r="Q22" s="2"/>
    </row>
    <row r="23" spans="1:17" ht="15">
      <c r="A23" s="5" t="s">
        <v>59</v>
      </c>
      <c r="B23" s="10" t="s">
        <v>60</v>
      </c>
      <c r="C23" s="502" t="s">
        <v>61</v>
      </c>
      <c r="D23" s="502"/>
      <c r="E23" s="502"/>
      <c r="F23" s="502"/>
      <c r="G23" s="8">
        <f>'[7]Ovi'!$I$92</f>
        <v>28500</v>
      </c>
      <c r="H23" s="56">
        <f t="shared" si="1"/>
        <v>28500</v>
      </c>
      <c r="I23" s="9"/>
      <c r="J23" s="9"/>
      <c r="K23" s="2"/>
      <c r="L23" s="2"/>
      <c r="M23" s="261"/>
      <c r="N23" s="261"/>
      <c r="O23" s="261"/>
      <c r="P23" s="2"/>
      <c r="Q23" s="2"/>
    </row>
    <row r="24" spans="1:17" ht="15">
      <c r="A24" s="5" t="s">
        <v>62</v>
      </c>
      <c r="B24" s="10" t="s">
        <v>63</v>
      </c>
      <c r="C24" s="502" t="s">
        <v>64</v>
      </c>
      <c r="D24" s="502"/>
      <c r="E24" s="502"/>
      <c r="F24" s="502"/>
      <c r="G24" s="55">
        <f>'[5]Ovi'!$I$87</f>
        <v>300000</v>
      </c>
      <c r="H24" s="56">
        <f t="shared" si="1"/>
        <v>300000</v>
      </c>
      <c r="I24" s="9"/>
      <c r="J24" s="9"/>
      <c r="K24" s="2"/>
      <c r="L24" s="2"/>
      <c r="M24" s="261"/>
      <c r="N24" s="261"/>
      <c r="O24" s="261"/>
      <c r="P24" s="2"/>
      <c r="Q24" s="2"/>
    </row>
    <row r="25" spans="1:17" ht="15">
      <c r="A25" s="5" t="s">
        <v>65</v>
      </c>
      <c r="B25" s="19" t="s">
        <v>66</v>
      </c>
      <c r="C25" s="502" t="s">
        <v>67</v>
      </c>
      <c r="D25" s="502"/>
      <c r="E25" s="502"/>
      <c r="F25" s="502"/>
      <c r="G25" s="55">
        <f>'[7]Ovi'!$I$88</f>
        <v>6300000</v>
      </c>
      <c r="H25" s="56">
        <f t="shared" si="1"/>
        <v>6300000</v>
      </c>
      <c r="I25" s="9"/>
      <c r="J25" s="9"/>
      <c r="K25" s="2"/>
      <c r="L25" s="2"/>
      <c r="M25" s="261"/>
      <c r="N25" s="261"/>
      <c r="O25" s="261"/>
      <c r="P25" s="2"/>
      <c r="Q25" s="2"/>
    </row>
    <row r="26" spans="1:17" ht="15">
      <c r="A26" s="5" t="s">
        <v>68</v>
      </c>
      <c r="B26" s="19" t="s">
        <v>69</v>
      </c>
      <c r="C26" s="502" t="s">
        <v>70</v>
      </c>
      <c r="D26" s="502"/>
      <c r="E26" s="502"/>
      <c r="F26" s="502"/>
      <c r="G26" s="55">
        <v>800000</v>
      </c>
      <c r="H26" s="56">
        <f t="shared" si="1"/>
        <v>800000</v>
      </c>
      <c r="I26" s="9"/>
      <c r="J26" s="9"/>
      <c r="K26" s="2"/>
      <c r="L26" s="2"/>
      <c r="M26" s="261"/>
      <c r="N26" s="261"/>
      <c r="O26" s="261"/>
      <c r="P26" s="2"/>
      <c r="Q26" s="2"/>
    </row>
    <row r="27" spans="1:17" ht="15">
      <c r="A27" s="5" t="s">
        <v>71</v>
      </c>
      <c r="B27" s="19" t="s">
        <v>72</v>
      </c>
      <c r="C27" s="7" t="s">
        <v>73</v>
      </c>
      <c r="D27" s="7"/>
      <c r="E27" s="7"/>
      <c r="F27" s="7"/>
      <c r="G27" s="8"/>
      <c r="H27" s="56">
        <f t="shared" si="1"/>
        <v>0</v>
      </c>
      <c r="I27" s="9"/>
      <c r="J27" s="9"/>
      <c r="K27" s="2"/>
      <c r="L27" s="2"/>
      <c r="M27" s="261"/>
      <c r="N27" s="261"/>
      <c r="O27" s="261"/>
      <c r="P27" s="2"/>
      <c r="Q27" s="2"/>
    </row>
    <row r="28" spans="1:17" ht="25.5">
      <c r="A28" s="5" t="s">
        <v>74</v>
      </c>
      <c r="B28" s="19" t="s">
        <v>75</v>
      </c>
      <c r="C28" s="502" t="s">
        <v>76</v>
      </c>
      <c r="D28" s="502"/>
      <c r="E28" s="502"/>
      <c r="F28" s="502"/>
      <c r="G28" s="8">
        <v>2000000</v>
      </c>
      <c r="H28" s="56">
        <f t="shared" si="1"/>
        <v>2000000</v>
      </c>
      <c r="I28" s="9"/>
      <c r="J28" s="9"/>
      <c r="K28" s="2"/>
      <c r="L28" s="2"/>
      <c r="M28" s="261"/>
      <c r="N28" s="261"/>
      <c r="O28" s="261"/>
      <c r="P28" s="2"/>
      <c r="Q28" s="2"/>
    </row>
    <row r="29" spans="1:17" ht="15">
      <c r="A29" s="5" t="s">
        <v>77</v>
      </c>
      <c r="B29" s="19" t="s">
        <v>78</v>
      </c>
      <c r="C29" s="502" t="s">
        <v>79</v>
      </c>
      <c r="D29" s="502"/>
      <c r="E29" s="502"/>
      <c r="F29" s="502"/>
      <c r="G29" s="8">
        <f>'[7]Ovi'!$I$90</f>
        <v>4611760</v>
      </c>
      <c r="H29" s="56">
        <f t="shared" si="1"/>
        <v>4611760</v>
      </c>
      <c r="I29" s="9"/>
      <c r="J29" s="9"/>
      <c r="K29" s="2"/>
      <c r="L29" s="2"/>
      <c r="M29" s="261"/>
      <c r="N29" s="261"/>
      <c r="O29" s="261"/>
      <c r="P29" s="2"/>
      <c r="Q29" s="2"/>
    </row>
    <row r="30" spans="1:17" ht="15">
      <c r="A30" s="5" t="s">
        <v>80</v>
      </c>
      <c r="B30" s="19" t="s">
        <v>81</v>
      </c>
      <c r="C30" s="7" t="s">
        <v>82</v>
      </c>
      <c r="D30" s="7"/>
      <c r="E30" s="7"/>
      <c r="F30" s="7"/>
      <c r="G30" s="8">
        <f>0</f>
        <v>0</v>
      </c>
      <c r="H30" s="56">
        <f t="shared" si="1"/>
        <v>0</v>
      </c>
      <c r="I30" s="9"/>
      <c r="J30" s="9"/>
      <c r="K30" s="2"/>
      <c r="L30" s="2"/>
      <c r="M30" s="261"/>
      <c r="N30" s="261"/>
      <c r="O30" s="261"/>
      <c r="P30" s="2"/>
      <c r="Q30" s="2"/>
    </row>
    <row r="31" spans="1:17" ht="25.5">
      <c r="A31" s="5" t="s">
        <v>83</v>
      </c>
      <c r="B31" s="19" t="s">
        <v>84</v>
      </c>
      <c r="C31" s="502" t="s">
        <v>85</v>
      </c>
      <c r="D31" s="502"/>
      <c r="E31" s="502"/>
      <c r="F31" s="502"/>
      <c r="G31" s="8">
        <f>((G21+G23+G24+G25+G26+G29)*0.27)+(47000000*0.18)</f>
        <v>11818870.2</v>
      </c>
      <c r="H31" s="58">
        <f t="shared" si="1"/>
        <v>11818870.2</v>
      </c>
      <c r="I31" s="9"/>
      <c r="J31" s="9"/>
      <c r="K31" s="2"/>
      <c r="L31" s="2"/>
      <c r="M31" s="261"/>
      <c r="N31" s="261"/>
      <c r="O31" s="261"/>
      <c r="P31" s="2"/>
      <c r="Q31" s="2"/>
    </row>
    <row r="32" spans="1:17" ht="15">
      <c r="A32" s="5" t="s">
        <v>86</v>
      </c>
      <c r="B32" s="21" t="s">
        <v>87</v>
      </c>
      <c r="C32" s="502" t="s">
        <v>88</v>
      </c>
      <c r="D32" s="502"/>
      <c r="E32" s="502"/>
      <c r="F32" s="502"/>
      <c r="G32" s="11"/>
      <c r="H32" s="56">
        <f t="shared" si="1"/>
        <v>0</v>
      </c>
      <c r="I32" s="9"/>
      <c r="J32" s="9"/>
      <c r="K32" s="2"/>
      <c r="L32" s="2"/>
      <c r="M32" s="261"/>
      <c r="N32" s="261"/>
      <c r="O32" s="261"/>
      <c r="P32" s="2"/>
      <c r="Q32" s="2"/>
    </row>
    <row r="33" spans="1:17" ht="15">
      <c r="A33" s="13" t="s">
        <v>89</v>
      </c>
      <c r="B33" s="14" t="s">
        <v>90</v>
      </c>
      <c r="C33" s="506" t="s">
        <v>91</v>
      </c>
      <c r="D33" s="506"/>
      <c r="E33" s="506"/>
      <c r="F33" s="506"/>
      <c r="G33" s="18">
        <f>SUM(G21:G32)</f>
        <v>75259130.2</v>
      </c>
      <c r="H33" s="18">
        <f>SUM(H21:H32)</f>
        <v>75259130.2</v>
      </c>
      <c r="I33" s="18">
        <f>SUM(I21:I32)</f>
        <v>0</v>
      </c>
      <c r="J33" s="18">
        <f>SUM(J21:J32)</f>
        <v>0</v>
      </c>
      <c r="K33" s="2"/>
      <c r="L33" s="2"/>
      <c r="M33" s="261"/>
      <c r="N33" s="261"/>
      <c r="O33" s="261"/>
      <c r="P33" s="2"/>
      <c r="Q33" s="2"/>
    </row>
    <row r="34" spans="1:17" ht="15">
      <c r="A34" s="5" t="s">
        <v>92</v>
      </c>
      <c r="B34" s="10" t="s">
        <v>93</v>
      </c>
      <c r="C34" s="7" t="s">
        <v>94</v>
      </c>
      <c r="D34" s="22"/>
      <c r="E34" s="22"/>
      <c r="F34" s="22"/>
      <c r="G34" s="47"/>
      <c r="H34" s="9"/>
      <c r="I34" s="9"/>
      <c r="J34" s="9"/>
      <c r="K34" s="2"/>
      <c r="L34" s="2"/>
      <c r="M34" s="261"/>
      <c r="N34" s="261"/>
      <c r="O34" s="261"/>
      <c r="P34" s="2"/>
      <c r="Q34" s="2"/>
    </row>
    <row r="35" spans="1:17" ht="15">
      <c r="A35" s="5" t="s">
        <v>95</v>
      </c>
      <c r="B35" s="10" t="s">
        <v>96</v>
      </c>
      <c r="C35" s="7" t="s">
        <v>97</v>
      </c>
      <c r="D35" s="22"/>
      <c r="E35" s="22"/>
      <c r="F35" s="22"/>
      <c r="G35" s="47"/>
      <c r="H35" s="9"/>
      <c r="I35" s="9"/>
      <c r="J35" s="9"/>
      <c r="K35" s="2"/>
      <c r="L35" s="2"/>
      <c r="M35" s="261"/>
      <c r="N35" s="261"/>
      <c r="O35" s="261"/>
      <c r="P35" s="2"/>
      <c r="Q35" s="2"/>
    </row>
    <row r="36" spans="1:17" ht="15">
      <c r="A36" s="13" t="s">
        <v>98</v>
      </c>
      <c r="B36" s="14" t="s">
        <v>99</v>
      </c>
      <c r="C36" s="69" t="s">
        <v>100</v>
      </c>
      <c r="D36" s="69"/>
      <c r="E36" s="69"/>
      <c r="F36" s="69"/>
      <c r="G36" s="18">
        <f>SUM(G34:G35)</f>
        <v>0</v>
      </c>
      <c r="H36" s="18">
        <f>SUM(H34:H35)</f>
        <v>0</v>
      </c>
      <c r="I36" s="18">
        <f>SUM(I34:I35)</f>
        <v>0</v>
      </c>
      <c r="J36" s="18">
        <f>SUM(J34:J35)</f>
        <v>0</v>
      </c>
      <c r="K36" s="2"/>
      <c r="L36" s="2"/>
      <c r="M36" s="261"/>
      <c r="N36" s="261"/>
      <c r="O36" s="261"/>
      <c r="P36" s="2"/>
      <c r="Q36" s="2"/>
    </row>
    <row r="37" spans="1:17" ht="25.5">
      <c r="A37" s="5" t="s">
        <v>101</v>
      </c>
      <c r="B37" s="10" t="s">
        <v>102</v>
      </c>
      <c r="C37" s="7" t="s">
        <v>103</v>
      </c>
      <c r="D37" s="22"/>
      <c r="E37" s="22"/>
      <c r="F37" s="22"/>
      <c r="G37" s="47"/>
      <c r="H37" s="9"/>
      <c r="I37" s="9"/>
      <c r="J37" s="9"/>
      <c r="K37" s="2"/>
      <c r="L37" s="2"/>
      <c r="M37" s="261"/>
      <c r="N37" s="261"/>
      <c r="O37" s="261"/>
      <c r="P37" s="2"/>
      <c r="Q37" s="2"/>
    </row>
    <row r="38" spans="1:17" ht="25.5">
      <c r="A38" s="5" t="s">
        <v>104</v>
      </c>
      <c r="B38" s="10" t="s">
        <v>105</v>
      </c>
      <c r="C38" s="7" t="s">
        <v>106</v>
      </c>
      <c r="D38" s="22"/>
      <c r="E38" s="22"/>
      <c r="F38" s="22"/>
      <c r="G38" s="47"/>
      <c r="H38" s="9"/>
      <c r="I38" s="9"/>
      <c r="J38" s="9"/>
      <c r="K38" s="2"/>
      <c r="L38" s="2"/>
      <c r="M38" s="261"/>
      <c r="N38" s="261"/>
      <c r="O38" s="261"/>
      <c r="P38" s="2"/>
      <c r="Q38" s="2"/>
    </row>
    <row r="39" spans="1:17" ht="15">
      <c r="A39" s="5" t="s">
        <v>107</v>
      </c>
      <c r="B39" s="10" t="s">
        <v>108</v>
      </c>
      <c r="C39" s="7" t="s">
        <v>109</v>
      </c>
      <c r="D39" s="22"/>
      <c r="E39" s="22"/>
      <c r="F39" s="22"/>
      <c r="G39" s="47"/>
      <c r="H39" s="9"/>
      <c r="I39" s="9"/>
      <c r="J39" s="9"/>
      <c r="K39" s="2"/>
      <c r="L39" s="2"/>
      <c r="M39" s="261"/>
      <c r="N39" s="261"/>
      <c r="O39" s="261"/>
      <c r="P39" s="2"/>
      <c r="Q39" s="2"/>
    </row>
    <row r="40" spans="1:17" ht="15">
      <c r="A40" s="13" t="s">
        <v>110</v>
      </c>
      <c r="B40" s="24" t="s">
        <v>111</v>
      </c>
      <c r="C40" s="69" t="s">
        <v>112</v>
      </c>
      <c r="D40" s="69"/>
      <c r="E40" s="69"/>
      <c r="F40" s="69"/>
      <c r="G40" s="18">
        <f>SUM(G37:G39)</f>
        <v>0</v>
      </c>
      <c r="H40" s="18">
        <f>SUM(H37:H39)</f>
        <v>0</v>
      </c>
      <c r="I40" s="18">
        <f>SUM(I37:I39)</f>
        <v>0</v>
      </c>
      <c r="J40" s="18">
        <f>SUM(J37:J39)</f>
        <v>0</v>
      </c>
      <c r="K40" s="2"/>
      <c r="L40" s="2"/>
      <c r="M40" s="261"/>
      <c r="N40" s="261"/>
      <c r="O40" s="261"/>
      <c r="P40" s="2"/>
      <c r="Q40" s="2"/>
    </row>
    <row r="41" spans="1:17" ht="15">
      <c r="A41" s="266" t="s">
        <v>113</v>
      </c>
      <c r="B41" s="25" t="s">
        <v>235</v>
      </c>
      <c r="C41" s="267" t="s">
        <v>236</v>
      </c>
      <c r="D41" s="267"/>
      <c r="E41" s="267"/>
      <c r="F41" s="267"/>
      <c r="G41" s="26">
        <f>'[9]Ovi'!$I$94</f>
        <v>322834.6456692913</v>
      </c>
      <c r="H41" s="57"/>
      <c r="I41" s="26">
        <v>0</v>
      </c>
      <c r="J41" s="57"/>
      <c r="K41" s="2"/>
      <c r="L41" s="2"/>
      <c r="M41" s="261"/>
      <c r="N41" s="261"/>
      <c r="O41" s="261"/>
      <c r="P41" s="2"/>
      <c r="Q41" s="2"/>
    </row>
    <row r="42" spans="1:17" ht="25.5">
      <c r="A42" s="266" t="s">
        <v>116</v>
      </c>
      <c r="B42" s="10" t="s">
        <v>117</v>
      </c>
      <c r="C42" s="7" t="s">
        <v>118</v>
      </c>
      <c r="D42" s="22"/>
      <c r="E42" s="22"/>
      <c r="F42" s="22"/>
      <c r="G42" s="11">
        <f>'[9]Ovi'!$I$96</f>
        <v>3430078.7401574804</v>
      </c>
      <c r="H42" s="9">
        <v>0</v>
      </c>
      <c r="I42" s="27">
        <f>G42</f>
        <v>3430078.7401574804</v>
      </c>
      <c r="J42" s="9"/>
      <c r="K42" s="2"/>
      <c r="L42" s="2"/>
      <c r="M42" s="261"/>
      <c r="N42" s="261"/>
      <c r="O42" s="261"/>
      <c r="P42" s="2"/>
      <c r="Q42" s="2"/>
    </row>
    <row r="43" spans="1:17" ht="25.5">
      <c r="A43" s="266" t="s">
        <v>119</v>
      </c>
      <c r="B43" s="10" t="s">
        <v>120</v>
      </c>
      <c r="C43" s="7" t="s">
        <v>121</v>
      </c>
      <c r="D43" s="22"/>
      <c r="E43" s="22"/>
      <c r="F43" s="22"/>
      <c r="G43" s="11">
        <f>'[9]Ovi'!$I$97</f>
        <v>1013286.6141732284</v>
      </c>
      <c r="H43" s="9">
        <v>0</v>
      </c>
      <c r="I43" s="27">
        <f>G43</f>
        <v>1013286.6141732284</v>
      </c>
      <c r="J43" s="9"/>
      <c r="K43" s="2"/>
      <c r="L43" s="2"/>
      <c r="M43" s="261"/>
      <c r="N43" s="261"/>
      <c r="O43" s="261"/>
      <c r="P43" s="2"/>
      <c r="Q43" s="2"/>
    </row>
    <row r="44" spans="1:17" ht="15">
      <c r="A44" s="266" t="s">
        <v>122</v>
      </c>
      <c r="B44" s="14" t="s">
        <v>123</v>
      </c>
      <c r="C44" s="69" t="s">
        <v>124</v>
      </c>
      <c r="D44" s="69"/>
      <c r="E44" s="69"/>
      <c r="F44" s="69"/>
      <c r="G44" s="18">
        <f>SUM(G41:G43)</f>
        <v>4766200</v>
      </c>
      <c r="H44" s="18">
        <f>SUM(H41:H43)</f>
        <v>0</v>
      </c>
      <c r="I44" s="18">
        <f>SUM(I41:I43)</f>
        <v>4443365.354330709</v>
      </c>
      <c r="J44" s="18">
        <f>SUM(J41:J43)</f>
        <v>0</v>
      </c>
      <c r="K44" s="2"/>
      <c r="L44" s="2"/>
      <c r="M44" s="261"/>
      <c r="N44" s="261"/>
      <c r="O44" s="261"/>
      <c r="P44" s="2"/>
      <c r="Q44" s="2"/>
    </row>
    <row r="45" spans="1:17" ht="15">
      <c r="A45" s="266" t="s">
        <v>125</v>
      </c>
      <c r="B45" s="10" t="s">
        <v>126</v>
      </c>
      <c r="C45" s="7" t="s">
        <v>127</v>
      </c>
      <c r="D45" s="22"/>
      <c r="E45" s="22"/>
      <c r="F45" s="22"/>
      <c r="G45" s="47"/>
      <c r="H45" s="9"/>
      <c r="I45" s="9"/>
      <c r="J45" s="9"/>
      <c r="K45" s="2"/>
      <c r="L45" s="2"/>
      <c r="M45" s="261"/>
      <c r="N45" s="261"/>
      <c r="O45" s="261"/>
      <c r="P45" s="2"/>
      <c r="Q45" s="2"/>
    </row>
    <row r="46" spans="1:17" ht="25.5">
      <c r="A46" s="266" t="s">
        <v>128</v>
      </c>
      <c r="B46" s="10" t="s">
        <v>129</v>
      </c>
      <c r="C46" s="7" t="s">
        <v>130</v>
      </c>
      <c r="D46" s="7"/>
      <c r="E46" s="7"/>
      <c r="F46" s="7"/>
      <c r="G46" s="11"/>
      <c r="H46" s="9"/>
      <c r="I46" s="9"/>
      <c r="J46" s="9"/>
      <c r="K46" s="2"/>
      <c r="L46" s="2"/>
      <c r="M46" s="261"/>
      <c r="N46" s="261"/>
      <c r="O46" s="261"/>
      <c r="P46" s="2"/>
      <c r="Q46" s="2"/>
    </row>
    <row r="47" spans="1:17" ht="15">
      <c r="A47" s="266" t="s">
        <v>131</v>
      </c>
      <c r="B47" s="14" t="s">
        <v>132</v>
      </c>
      <c r="C47" s="69" t="s">
        <v>133</v>
      </c>
      <c r="D47" s="69"/>
      <c r="E47" s="69"/>
      <c r="F47" s="69"/>
      <c r="G47" s="18">
        <f>SUM(G45:G46)</f>
        <v>0</v>
      </c>
      <c r="H47" s="18">
        <f>SUM(H45:H46)</f>
        <v>0</v>
      </c>
      <c r="I47" s="18">
        <f>SUM(I45:I46)</f>
        <v>0</v>
      </c>
      <c r="J47" s="18">
        <f>SUM(J45:J46)</f>
        <v>0</v>
      </c>
      <c r="K47" s="2"/>
      <c r="L47" s="2"/>
      <c r="M47" s="261"/>
      <c r="N47" s="261"/>
      <c r="O47" s="261"/>
      <c r="P47" s="2"/>
      <c r="Q47" s="2"/>
    </row>
    <row r="48" spans="1:17" ht="38.25">
      <c r="A48" s="266" t="s">
        <v>134</v>
      </c>
      <c r="B48" s="10" t="s">
        <v>135</v>
      </c>
      <c r="C48" s="7" t="s">
        <v>136</v>
      </c>
      <c r="D48" s="7"/>
      <c r="E48" s="7"/>
      <c r="F48" s="7"/>
      <c r="G48" s="11"/>
      <c r="H48" s="9"/>
      <c r="I48" s="9"/>
      <c r="J48" s="9"/>
      <c r="K48" s="2"/>
      <c r="L48" s="2"/>
      <c r="M48" s="261"/>
      <c r="N48" s="261"/>
      <c r="O48" s="261"/>
      <c r="P48" s="2"/>
      <c r="Q48" s="2"/>
    </row>
    <row r="49" spans="1:17" ht="15">
      <c r="A49" s="266" t="s">
        <v>137</v>
      </c>
      <c r="B49" s="14" t="s">
        <v>138</v>
      </c>
      <c r="C49" s="69" t="s">
        <v>139</v>
      </c>
      <c r="D49" s="69"/>
      <c r="E49" s="69"/>
      <c r="F49" s="69"/>
      <c r="G49" s="18">
        <f>SUM(G48)</f>
        <v>0</v>
      </c>
      <c r="H49" s="18">
        <f>SUM(H48)</f>
        <v>0</v>
      </c>
      <c r="I49" s="18">
        <f>SUM(I48)</f>
        <v>0</v>
      </c>
      <c r="J49" s="18">
        <f>SUM(J48)</f>
        <v>0</v>
      </c>
      <c r="K49" s="2"/>
      <c r="L49" s="2"/>
      <c r="M49" s="261"/>
      <c r="N49" s="261"/>
      <c r="O49" s="261"/>
      <c r="P49" s="2"/>
      <c r="Q49" s="2"/>
    </row>
    <row r="50" spans="1:17" ht="15">
      <c r="A50" s="266" t="s">
        <v>140</v>
      </c>
      <c r="B50" s="28" t="s">
        <v>141</v>
      </c>
      <c r="C50" s="506" t="s">
        <v>142</v>
      </c>
      <c r="D50" s="506"/>
      <c r="E50" s="506"/>
      <c r="F50" s="506"/>
      <c r="G50" s="18">
        <f>G19+G20+G33+G36+G40+G44+G47+G49</f>
        <v>267861714.41000003</v>
      </c>
      <c r="H50" s="18">
        <f>H19+H20+H33+H36+H40+H44+H47+H49</f>
        <v>255429594.41000003</v>
      </c>
      <c r="I50" s="18">
        <f>I19+I20+I33+I36+I40+I44+I47+I49</f>
        <v>12109285.35433071</v>
      </c>
      <c r="J50" s="18">
        <f>J19+J20+J33+J36+J40+J44+J47+J49</f>
        <v>0</v>
      </c>
      <c r="K50" s="2"/>
      <c r="L50" s="2"/>
      <c r="M50" s="261"/>
      <c r="N50" s="261"/>
      <c r="O50" s="261"/>
      <c r="P50" s="2"/>
      <c r="Q50" s="2"/>
    </row>
    <row r="51" spans="1:17" ht="15">
      <c r="A51" s="29"/>
      <c r="B51" s="2"/>
      <c r="C51" s="2"/>
      <c r="D51" s="2"/>
      <c r="E51" s="2"/>
      <c r="F51" s="2"/>
      <c r="G51" s="30"/>
      <c r="H51" s="2"/>
      <c r="I51" s="2"/>
      <c r="J51" s="2"/>
      <c r="K51" s="2"/>
      <c r="L51" s="2"/>
      <c r="M51" s="261"/>
      <c r="N51" s="261"/>
      <c r="O51" s="261"/>
      <c r="P51" s="2"/>
      <c r="Q51" s="2"/>
    </row>
    <row r="52" spans="1:17" ht="15">
      <c r="A52" s="523" t="s">
        <v>143</v>
      </c>
      <c r="B52" s="523"/>
      <c r="C52" s="523"/>
      <c r="D52" s="523"/>
      <c r="E52" s="523"/>
      <c r="F52" s="523"/>
      <c r="G52" s="523"/>
      <c r="H52" s="31"/>
      <c r="I52" s="31"/>
      <c r="J52" s="31"/>
      <c r="K52" s="31"/>
      <c r="L52" s="31"/>
      <c r="M52" s="268"/>
      <c r="N52" s="268"/>
      <c r="O52" s="268"/>
      <c r="P52" s="31"/>
      <c r="Q52" s="31"/>
    </row>
    <row r="53" spans="1:17" ht="15">
      <c r="A53" s="495" t="s">
        <v>3</v>
      </c>
      <c r="B53" s="496" t="s">
        <v>4</v>
      </c>
      <c r="C53" s="497" t="s">
        <v>5</v>
      </c>
      <c r="D53" s="497"/>
      <c r="E53" s="497"/>
      <c r="F53" s="497"/>
      <c r="G53" s="498" t="s">
        <v>144</v>
      </c>
      <c r="H53" s="3"/>
      <c r="I53" s="3"/>
      <c r="J53" s="3"/>
      <c r="K53" s="3"/>
      <c r="L53" s="3"/>
      <c r="M53" s="262"/>
      <c r="N53" s="262"/>
      <c r="O53" s="262"/>
      <c r="P53" s="3"/>
      <c r="Q53" s="3"/>
    </row>
    <row r="54" spans="1:17" ht="15" customHeight="1">
      <c r="A54" s="495"/>
      <c r="B54" s="496"/>
      <c r="C54" s="497"/>
      <c r="D54" s="497"/>
      <c r="E54" s="497"/>
      <c r="F54" s="497"/>
      <c r="G54" s="498"/>
      <c r="H54" s="2"/>
      <c r="I54" s="2"/>
      <c r="J54" s="2"/>
      <c r="K54" s="2"/>
      <c r="L54" s="2"/>
      <c r="M54" s="261"/>
      <c r="N54" s="261"/>
      <c r="O54" s="261"/>
      <c r="P54" s="2"/>
      <c r="Q54" s="2"/>
    </row>
    <row r="55" spans="1:17" ht="25.5">
      <c r="A55" s="5" t="s">
        <v>140</v>
      </c>
      <c r="B55" s="19" t="s">
        <v>145</v>
      </c>
      <c r="C55" s="503" t="s">
        <v>146</v>
      </c>
      <c r="D55" s="507"/>
      <c r="E55" s="507"/>
      <c r="F55" s="508"/>
      <c r="G55" s="8"/>
      <c r="H55" s="34"/>
      <c r="I55" s="34"/>
      <c r="J55" s="34"/>
      <c r="K55" s="34"/>
      <c r="L55" s="34"/>
      <c r="M55" s="265"/>
      <c r="N55" s="265"/>
      <c r="O55" s="265"/>
      <c r="P55" s="34"/>
      <c r="Q55" s="34"/>
    </row>
    <row r="56" spans="1:17" ht="25.5">
      <c r="A56" s="5" t="s">
        <v>147</v>
      </c>
      <c r="B56" s="19" t="s">
        <v>148</v>
      </c>
      <c r="C56" s="502" t="s">
        <v>149</v>
      </c>
      <c r="D56" s="502"/>
      <c r="E56" s="502"/>
      <c r="F56" s="502"/>
      <c r="G56" s="8"/>
      <c r="H56" s="34"/>
      <c r="I56" s="34"/>
      <c r="J56" s="34"/>
      <c r="K56" s="34"/>
      <c r="L56" s="34"/>
      <c r="M56" s="265"/>
      <c r="N56" s="265"/>
      <c r="O56" s="265"/>
      <c r="P56" s="34"/>
      <c r="Q56" s="34"/>
    </row>
    <row r="57" spans="1:17" ht="15">
      <c r="A57" s="13" t="s">
        <v>150</v>
      </c>
      <c r="B57" s="28" t="s">
        <v>151</v>
      </c>
      <c r="C57" s="506" t="s">
        <v>152</v>
      </c>
      <c r="D57" s="506"/>
      <c r="E57" s="506"/>
      <c r="F57" s="506"/>
      <c r="G57" s="18">
        <f>SUM(G55:G56)</f>
        <v>0</v>
      </c>
      <c r="H57" s="34"/>
      <c r="I57" s="34"/>
      <c r="J57" s="34"/>
      <c r="K57" s="34"/>
      <c r="L57" s="34"/>
      <c r="M57" s="265"/>
      <c r="N57" s="265"/>
      <c r="O57" s="265"/>
      <c r="P57" s="34"/>
      <c r="Q57" s="34"/>
    </row>
    <row r="58" spans="1:17" ht="15">
      <c r="A58" s="36"/>
      <c r="B58" s="2"/>
      <c r="C58" s="2"/>
      <c r="D58" s="2"/>
      <c r="E58" s="2"/>
      <c r="F58" s="2"/>
      <c r="G58" s="30"/>
      <c r="H58" s="2"/>
      <c r="I58" s="2"/>
      <c r="J58" s="2"/>
      <c r="K58" s="2"/>
      <c r="L58" s="2"/>
      <c r="M58" s="261"/>
      <c r="N58" s="261"/>
      <c r="O58" s="261"/>
      <c r="P58" s="2"/>
      <c r="Q58" s="2"/>
    </row>
    <row r="59" spans="1:17" ht="15">
      <c r="A59" s="37"/>
      <c r="B59" s="38" t="s">
        <v>153</v>
      </c>
      <c r="C59" s="510"/>
      <c r="D59" s="510"/>
      <c r="E59" s="510"/>
      <c r="F59" s="510"/>
      <c r="G59" s="39">
        <f>G50+G57</f>
        <v>267861714.41000003</v>
      </c>
      <c r="H59" s="2"/>
      <c r="I59" s="305"/>
      <c r="J59" s="2"/>
      <c r="K59" s="2"/>
      <c r="L59" s="2"/>
      <c r="M59" s="261"/>
      <c r="N59" s="261"/>
      <c r="O59" s="261"/>
      <c r="P59" s="2"/>
      <c r="Q59" s="2"/>
    </row>
    <row r="60" spans="1:17" ht="15">
      <c r="A60" s="36"/>
      <c r="B60" s="2"/>
      <c r="C60" s="2"/>
      <c r="D60" s="2"/>
      <c r="E60" s="2"/>
      <c r="F60" s="2"/>
      <c r="G60" s="30"/>
      <c r="H60" s="2"/>
      <c r="I60" s="2"/>
      <c r="J60" s="2"/>
      <c r="K60" s="2"/>
      <c r="L60" s="2"/>
      <c r="M60" s="261"/>
      <c r="N60" s="261"/>
      <c r="O60" s="261"/>
      <c r="P60" s="2"/>
      <c r="Q60" s="2"/>
    </row>
    <row r="61" spans="2:17" ht="15">
      <c r="B61" s="2" t="s">
        <v>391</v>
      </c>
      <c r="C61" s="2"/>
      <c r="D61" s="2"/>
      <c r="E61" s="2"/>
      <c r="F61" s="2"/>
      <c r="G61" s="269">
        <v>140927060</v>
      </c>
      <c r="H61" s="2"/>
      <c r="I61" s="2"/>
      <c r="J61" s="2"/>
      <c r="K61" s="2"/>
      <c r="L61" s="2"/>
      <c r="M61" s="261"/>
      <c r="N61" s="261"/>
      <c r="O61" s="261"/>
      <c r="P61" s="2"/>
      <c r="Q61" s="2"/>
    </row>
    <row r="62" spans="2:17" ht="15">
      <c r="B62" s="2" t="s">
        <v>392</v>
      </c>
      <c r="C62" s="2"/>
      <c r="D62" s="2"/>
      <c r="E62" s="2"/>
      <c r="F62" s="2"/>
      <c r="G62" s="269">
        <v>48003755</v>
      </c>
      <c r="H62" s="2"/>
      <c r="I62" s="2"/>
      <c r="J62" s="2"/>
      <c r="K62" s="2"/>
      <c r="L62" s="2"/>
      <c r="M62" s="261"/>
      <c r="N62" s="261"/>
      <c r="O62" s="261"/>
      <c r="P62" s="2"/>
      <c r="Q62" s="2"/>
    </row>
    <row r="63" spans="2:17" s="404" customFormat="1" ht="15">
      <c r="B63" s="2" t="s">
        <v>440</v>
      </c>
      <c r="C63" s="2"/>
      <c r="D63" s="2"/>
      <c r="E63" s="2"/>
      <c r="F63" s="2"/>
      <c r="G63" s="269">
        <f>30945273-14110000</f>
        <v>16835273</v>
      </c>
      <c r="H63" s="2"/>
      <c r="I63" s="2"/>
      <c r="J63" s="2"/>
      <c r="K63" s="2"/>
      <c r="L63" s="2"/>
      <c r="M63" s="261"/>
      <c r="N63" s="261"/>
      <c r="O63" s="261"/>
      <c r="P63" s="2"/>
      <c r="Q63" s="2"/>
    </row>
    <row r="64" spans="2:17" ht="15">
      <c r="B64" s="2" t="s">
        <v>393</v>
      </c>
      <c r="C64" s="2"/>
      <c r="D64" s="2"/>
      <c r="E64" s="2"/>
      <c r="F64" s="2"/>
      <c r="G64" s="270">
        <v>42014768</v>
      </c>
      <c r="H64" s="2"/>
      <c r="I64" s="2"/>
      <c r="J64" s="2"/>
      <c r="K64" s="2"/>
      <c r="L64" s="2"/>
      <c r="M64" s="261"/>
      <c r="N64" s="261"/>
      <c r="O64" s="261"/>
      <c r="P64" s="2"/>
      <c r="Q64" s="2"/>
    </row>
    <row r="65" spans="2:17" ht="15">
      <c r="B65" s="2"/>
      <c r="C65" s="2"/>
      <c r="D65" s="2"/>
      <c r="E65" s="2"/>
      <c r="F65" s="2"/>
      <c r="G65" s="271">
        <f>G61+G62+G63+G64</f>
        <v>247780856</v>
      </c>
      <c r="H65" s="2"/>
      <c r="I65" s="305"/>
      <c r="J65" s="2"/>
      <c r="K65" s="2"/>
      <c r="L65" s="2"/>
      <c r="M65" s="261"/>
      <c r="N65" s="261"/>
      <c r="O65" s="261"/>
      <c r="P65" s="2"/>
      <c r="Q65" s="2"/>
    </row>
    <row r="66" spans="2:17" ht="15">
      <c r="B66" s="2" t="s">
        <v>394</v>
      </c>
      <c r="C66" s="2"/>
      <c r="D66" s="2"/>
      <c r="E66" s="2"/>
      <c r="F66" s="2"/>
      <c r="G66" s="272">
        <f>'Óvoda bev.'!G46-'Óvoda kiad.'!G65</f>
        <v>20080858</v>
      </c>
      <c r="H66" s="2"/>
      <c r="I66" s="305"/>
      <c r="J66" s="2"/>
      <c r="K66" s="2"/>
      <c r="L66" s="2"/>
      <c r="M66" s="261"/>
      <c r="N66" s="261"/>
      <c r="O66" s="261"/>
      <c r="P66" s="2"/>
      <c r="Q66" s="2"/>
    </row>
    <row r="67" spans="2:17" ht="15">
      <c r="B67" s="2"/>
      <c r="C67" s="2"/>
      <c r="D67" s="2"/>
      <c r="E67" s="2"/>
      <c r="F67" s="2"/>
      <c r="G67" s="30"/>
      <c r="H67" s="2"/>
      <c r="I67" s="2"/>
      <c r="J67" s="2"/>
      <c r="K67" s="2"/>
      <c r="L67" s="2"/>
      <c r="M67" s="261"/>
      <c r="N67" s="261"/>
      <c r="O67" s="261"/>
      <c r="P67" s="2"/>
      <c r="Q67" s="2"/>
    </row>
  </sheetData>
  <sheetProtection/>
  <mergeCells count="36">
    <mergeCell ref="H5:J5"/>
    <mergeCell ref="C18:F18"/>
    <mergeCell ref="C19:F19"/>
    <mergeCell ref="C20:F20"/>
    <mergeCell ref="C21:F21"/>
    <mergeCell ref="A3:G3"/>
    <mergeCell ref="C7:F7"/>
    <mergeCell ref="C11:F11"/>
    <mergeCell ref="C13:F13"/>
    <mergeCell ref="C16:F16"/>
    <mergeCell ref="C17:F17"/>
    <mergeCell ref="A4:G4"/>
    <mergeCell ref="A5:A6"/>
    <mergeCell ref="B5:B6"/>
    <mergeCell ref="C5:F6"/>
    <mergeCell ref="G5:G6"/>
    <mergeCell ref="C56:F56"/>
    <mergeCell ref="C57:F57"/>
    <mergeCell ref="C50:F50"/>
    <mergeCell ref="C33:F33"/>
    <mergeCell ref="C23:F23"/>
    <mergeCell ref="C24:F24"/>
    <mergeCell ref="C25:F25"/>
    <mergeCell ref="C26:F26"/>
    <mergeCell ref="C28:F28"/>
    <mergeCell ref="C29:F29"/>
    <mergeCell ref="C55:F55"/>
    <mergeCell ref="C59:F59"/>
    <mergeCell ref="A1:G1"/>
    <mergeCell ref="A52:G52"/>
    <mergeCell ref="A53:A54"/>
    <mergeCell ref="B53:B54"/>
    <mergeCell ref="C53:F54"/>
    <mergeCell ref="G53:G54"/>
    <mergeCell ref="C31:F31"/>
    <mergeCell ref="C32:F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E48" sqref="E48"/>
    </sheetView>
  </sheetViews>
  <sheetFormatPr defaultColWidth="9.140625" defaultRowHeight="15"/>
  <cols>
    <col min="2" max="2" width="34.28125" style="0" customWidth="1"/>
    <col min="7" max="7" width="15.8515625" style="0" bestFit="1" customWidth="1"/>
    <col min="8" max="8" width="9.8515625" style="0" bestFit="1" customWidth="1"/>
    <col min="9" max="9" width="12.28125" style="0" customWidth="1"/>
    <col min="10" max="10" width="6.28125" style="0" bestFit="1" customWidth="1"/>
  </cols>
  <sheetData>
    <row r="1" spans="1:10" ht="15">
      <c r="A1" s="491" t="s">
        <v>237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513" t="s">
        <v>238</v>
      </c>
      <c r="B3" s="513"/>
      <c r="C3" s="513"/>
      <c r="D3" s="513"/>
      <c r="E3" s="513"/>
      <c r="F3" s="513"/>
      <c r="G3" s="513"/>
      <c r="H3" s="513"/>
      <c r="I3" s="513"/>
      <c r="J3" s="513"/>
    </row>
    <row r="4" spans="1:10" ht="15">
      <c r="A4" s="514" t="s">
        <v>155</v>
      </c>
      <c r="B4" s="515"/>
      <c r="C4" s="515"/>
      <c r="D4" s="515"/>
      <c r="E4" s="515"/>
      <c r="F4" s="515"/>
      <c r="G4" s="515"/>
      <c r="H4" s="515"/>
      <c r="I4" s="515"/>
      <c r="J4" s="515"/>
    </row>
    <row r="5" spans="1:10" ht="15">
      <c r="A5" s="495" t="s">
        <v>3</v>
      </c>
      <c r="B5" s="496" t="s">
        <v>4</v>
      </c>
      <c r="C5" s="497" t="s">
        <v>5</v>
      </c>
      <c r="D5" s="497"/>
      <c r="E5" s="497"/>
      <c r="F5" s="497"/>
      <c r="G5" s="498" t="s">
        <v>144</v>
      </c>
      <c r="H5" s="499" t="s">
        <v>7</v>
      </c>
      <c r="I5" s="500"/>
      <c r="J5" s="501"/>
    </row>
    <row r="6" spans="1:10" ht="25.5">
      <c r="A6" s="495"/>
      <c r="B6" s="496"/>
      <c r="C6" s="497"/>
      <c r="D6" s="497"/>
      <c r="E6" s="497"/>
      <c r="F6" s="497"/>
      <c r="G6" s="498"/>
      <c r="H6" s="4" t="s">
        <v>8</v>
      </c>
      <c r="I6" s="4" t="s">
        <v>9</v>
      </c>
      <c r="J6" s="4" t="s">
        <v>10</v>
      </c>
    </row>
    <row r="7" spans="1:10" ht="25.5">
      <c r="A7" s="5" t="s">
        <v>11</v>
      </c>
      <c r="B7" s="6" t="s">
        <v>156</v>
      </c>
      <c r="C7" s="502" t="s">
        <v>157</v>
      </c>
      <c r="D7" s="502"/>
      <c r="E7" s="502"/>
      <c r="F7" s="502"/>
      <c r="G7" s="8"/>
      <c r="H7" s="9"/>
      <c r="I7" s="9"/>
      <c r="J7" s="9"/>
    </row>
    <row r="8" spans="1:10" ht="25.5">
      <c r="A8" s="5" t="s">
        <v>14</v>
      </c>
      <c r="B8" s="10" t="s">
        <v>158</v>
      </c>
      <c r="C8" s="502" t="s">
        <v>159</v>
      </c>
      <c r="D8" s="502"/>
      <c r="E8" s="502"/>
      <c r="F8" s="502"/>
      <c r="G8" s="8"/>
      <c r="H8" s="9"/>
      <c r="I8" s="9"/>
      <c r="J8" s="9"/>
    </row>
    <row r="9" spans="1:10" ht="38.25">
      <c r="A9" s="5" t="s">
        <v>17</v>
      </c>
      <c r="B9" s="10" t="s">
        <v>160</v>
      </c>
      <c r="C9" s="502" t="s">
        <v>161</v>
      </c>
      <c r="D9" s="502"/>
      <c r="E9" s="502"/>
      <c r="F9" s="502"/>
      <c r="G9" s="8"/>
      <c r="H9" s="9"/>
      <c r="I9" s="9"/>
      <c r="J9" s="9"/>
    </row>
    <row r="10" spans="1:10" ht="25.5">
      <c r="A10" s="5" t="s">
        <v>20</v>
      </c>
      <c r="B10" s="10" t="s">
        <v>162</v>
      </c>
      <c r="C10" s="503" t="s">
        <v>163</v>
      </c>
      <c r="D10" s="507"/>
      <c r="E10" s="507"/>
      <c r="F10" s="508"/>
      <c r="G10" s="8"/>
      <c r="H10" s="9"/>
      <c r="I10" s="9"/>
      <c r="J10" s="9"/>
    </row>
    <row r="11" spans="1:10" ht="38.25">
      <c r="A11" s="5" t="s">
        <v>23</v>
      </c>
      <c r="B11" s="10" t="s">
        <v>164</v>
      </c>
      <c r="C11" s="503" t="s">
        <v>165</v>
      </c>
      <c r="D11" s="507"/>
      <c r="E11" s="507"/>
      <c r="F11" s="508"/>
      <c r="G11" s="8"/>
      <c r="H11" s="9"/>
      <c r="I11" s="9"/>
      <c r="J11" s="9"/>
    </row>
    <row r="12" spans="1:10" ht="25.5">
      <c r="A12" s="5" t="s">
        <v>26</v>
      </c>
      <c r="B12" s="10" t="s">
        <v>166</v>
      </c>
      <c r="C12" s="502" t="s">
        <v>167</v>
      </c>
      <c r="D12" s="502"/>
      <c r="E12" s="502"/>
      <c r="F12" s="502"/>
      <c r="G12" s="8"/>
      <c r="H12" s="9"/>
      <c r="I12" s="9"/>
      <c r="J12" s="9"/>
    </row>
    <row r="13" spans="1:10" ht="15">
      <c r="A13" s="5" t="s">
        <v>29</v>
      </c>
      <c r="B13" s="10" t="s">
        <v>168</v>
      </c>
      <c r="C13" s="502" t="s">
        <v>169</v>
      </c>
      <c r="D13" s="502"/>
      <c r="E13" s="502"/>
      <c r="F13" s="502"/>
      <c r="G13" s="8"/>
      <c r="H13" s="9"/>
      <c r="I13" s="9"/>
      <c r="J13" s="9"/>
    </row>
    <row r="14" spans="1:10" ht="25.5">
      <c r="A14" s="5" t="s">
        <v>32</v>
      </c>
      <c r="B14" s="10" t="s">
        <v>170</v>
      </c>
      <c r="C14" s="502" t="s">
        <v>171</v>
      </c>
      <c r="D14" s="502"/>
      <c r="E14" s="502"/>
      <c r="F14" s="502"/>
      <c r="G14" s="8"/>
      <c r="H14" s="9"/>
      <c r="I14" s="9"/>
      <c r="J14" s="9"/>
    </row>
    <row r="15" spans="1:10" ht="25.5">
      <c r="A15" s="13" t="s">
        <v>35</v>
      </c>
      <c r="B15" s="14" t="s">
        <v>172</v>
      </c>
      <c r="C15" s="506" t="s">
        <v>173</v>
      </c>
      <c r="D15" s="506"/>
      <c r="E15" s="506"/>
      <c r="F15" s="506"/>
      <c r="G15" s="18">
        <f>SUM(G7:G14)</f>
        <v>0</v>
      </c>
      <c r="H15" s="18">
        <v>0</v>
      </c>
      <c r="I15" s="18">
        <v>0</v>
      </c>
      <c r="J15" s="18">
        <v>0</v>
      </c>
    </row>
    <row r="16" spans="1:10" ht="25.5">
      <c r="A16" s="5" t="s">
        <v>38</v>
      </c>
      <c r="B16" s="10" t="s">
        <v>174</v>
      </c>
      <c r="C16" s="502" t="s">
        <v>175</v>
      </c>
      <c r="D16" s="502"/>
      <c r="E16" s="502"/>
      <c r="F16" s="502"/>
      <c r="G16" s="8"/>
      <c r="H16" s="12"/>
      <c r="I16" s="12"/>
      <c r="J16" s="12"/>
    </row>
    <row r="17" spans="1:10" ht="25.5">
      <c r="A17" s="13" t="s">
        <v>41</v>
      </c>
      <c r="B17" s="14" t="s">
        <v>176</v>
      </c>
      <c r="C17" s="506" t="s">
        <v>177</v>
      </c>
      <c r="D17" s="506"/>
      <c r="E17" s="506"/>
      <c r="F17" s="506"/>
      <c r="G17" s="18">
        <f>SUM(G16)</f>
        <v>0</v>
      </c>
      <c r="H17" s="18">
        <v>0</v>
      </c>
      <c r="I17" s="18">
        <v>0</v>
      </c>
      <c r="J17" s="18">
        <v>0</v>
      </c>
    </row>
    <row r="18" spans="1:10" ht="15">
      <c r="A18" s="5" t="s">
        <v>44</v>
      </c>
      <c r="B18" s="10" t="s">
        <v>178</v>
      </c>
      <c r="C18" s="502" t="s">
        <v>179</v>
      </c>
      <c r="D18" s="502"/>
      <c r="E18" s="502"/>
      <c r="F18" s="502"/>
      <c r="G18" s="8"/>
      <c r="H18" s="9"/>
      <c r="I18" s="9"/>
      <c r="J18" s="9"/>
    </row>
    <row r="19" spans="1:10" ht="15">
      <c r="A19" s="5" t="s">
        <v>47</v>
      </c>
      <c r="B19" s="10" t="s">
        <v>180</v>
      </c>
      <c r="C19" s="502" t="s">
        <v>181</v>
      </c>
      <c r="D19" s="502"/>
      <c r="E19" s="502"/>
      <c r="F19" s="502"/>
      <c r="G19" s="8"/>
      <c r="H19" s="9"/>
      <c r="I19" s="9"/>
      <c r="J19" s="9"/>
    </row>
    <row r="20" spans="1:10" ht="15">
      <c r="A20" s="5" t="s">
        <v>50</v>
      </c>
      <c r="B20" s="10" t="s">
        <v>182</v>
      </c>
      <c r="C20" s="502" t="s">
        <v>183</v>
      </c>
      <c r="D20" s="502"/>
      <c r="E20" s="502"/>
      <c r="F20" s="502"/>
      <c r="G20" s="8"/>
      <c r="H20" s="9"/>
      <c r="I20" s="9"/>
      <c r="J20" s="9"/>
    </row>
    <row r="21" spans="1:10" ht="15">
      <c r="A21" s="5" t="s">
        <v>53</v>
      </c>
      <c r="B21" s="10" t="s">
        <v>184</v>
      </c>
      <c r="C21" s="502" t="s">
        <v>185</v>
      </c>
      <c r="D21" s="502"/>
      <c r="E21" s="502"/>
      <c r="F21" s="502"/>
      <c r="G21" s="8"/>
      <c r="H21" s="9"/>
      <c r="I21" s="9"/>
      <c r="J21" s="9"/>
    </row>
    <row r="22" spans="1:10" ht="15">
      <c r="A22" s="13" t="s">
        <v>56</v>
      </c>
      <c r="B22" s="14" t="s">
        <v>186</v>
      </c>
      <c r="C22" s="506" t="s">
        <v>187</v>
      </c>
      <c r="D22" s="506"/>
      <c r="E22" s="506"/>
      <c r="F22" s="506"/>
      <c r="G22" s="18">
        <f>SUM(G18:G21)</f>
        <v>0</v>
      </c>
      <c r="H22" s="18">
        <v>0</v>
      </c>
      <c r="I22" s="18">
        <v>0</v>
      </c>
      <c r="J22" s="18">
        <v>0</v>
      </c>
    </row>
    <row r="23" spans="1:10" ht="15">
      <c r="A23" s="5" t="s">
        <v>59</v>
      </c>
      <c r="B23" s="19" t="s">
        <v>188</v>
      </c>
      <c r="C23" s="502" t="s">
        <v>189</v>
      </c>
      <c r="D23" s="502"/>
      <c r="E23" s="502"/>
      <c r="F23" s="502"/>
      <c r="G23" s="8"/>
      <c r="H23" s="9"/>
      <c r="I23" s="9"/>
      <c r="J23" s="9"/>
    </row>
    <row r="24" spans="1:10" ht="15">
      <c r="A24" s="5" t="s">
        <v>62</v>
      </c>
      <c r="B24" s="19" t="s">
        <v>190</v>
      </c>
      <c r="C24" s="502" t="s">
        <v>191</v>
      </c>
      <c r="D24" s="502"/>
      <c r="E24" s="502"/>
      <c r="F24" s="502"/>
      <c r="G24" s="8">
        <v>275590</v>
      </c>
      <c r="H24" s="8">
        <v>0</v>
      </c>
      <c r="I24" s="8">
        <f>G24</f>
        <v>275590</v>
      </c>
      <c r="J24" s="8">
        <v>0</v>
      </c>
    </row>
    <row r="25" spans="1:10" ht="15">
      <c r="A25" s="5" t="s">
        <v>65</v>
      </c>
      <c r="B25" s="19" t="s">
        <v>192</v>
      </c>
      <c r="C25" s="502" t="s">
        <v>193</v>
      </c>
      <c r="D25" s="502"/>
      <c r="E25" s="502"/>
      <c r="F25" s="502"/>
      <c r="G25" s="8"/>
      <c r="H25" s="9"/>
      <c r="I25" s="12"/>
      <c r="J25" s="9"/>
    </row>
    <row r="26" spans="1:10" ht="15">
      <c r="A26" s="5" t="s">
        <v>68</v>
      </c>
      <c r="B26" s="19" t="s">
        <v>194</v>
      </c>
      <c r="C26" s="502" t="s">
        <v>195</v>
      </c>
      <c r="D26" s="502"/>
      <c r="E26" s="502"/>
      <c r="F26" s="502"/>
      <c r="G26" s="8"/>
      <c r="H26" s="9"/>
      <c r="I26" s="9"/>
      <c r="J26" s="9"/>
    </row>
    <row r="27" spans="1:10" ht="15">
      <c r="A27" s="5" t="s">
        <v>71</v>
      </c>
      <c r="B27" s="19" t="s">
        <v>196</v>
      </c>
      <c r="C27" s="502" t="s">
        <v>197</v>
      </c>
      <c r="D27" s="502"/>
      <c r="E27" s="502"/>
      <c r="F27" s="502"/>
      <c r="G27" s="8"/>
      <c r="H27" s="9"/>
      <c r="I27" s="9"/>
      <c r="J27" s="9"/>
    </row>
    <row r="28" spans="1:10" ht="15">
      <c r="A28" s="5" t="s">
        <v>74</v>
      </c>
      <c r="B28" s="19" t="s">
        <v>198</v>
      </c>
      <c r="C28" s="502" t="s">
        <v>199</v>
      </c>
      <c r="D28" s="502"/>
      <c r="E28" s="502"/>
      <c r="F28" s="502"/>
      <c r="G28" s="8">
        <f>(G24*0.27)+1</f>
        <v>74410.3</v>
      </c>
      <c r="H28" s="8">
        <f>H24*0.05%</f>
        <v>0</v>
      </c>
      <c r="I28" s="8">
        <f>G28</f>
        <v>74410.3</v>
      </c>
      <c r="J28" s="8">
        <f>J24*0.05%</f>
        <v>0</v>
      </c>
    </row>
    <row r="29" spans="1:10" ht="15">
      <c r="A29" s="13" t="s">
        <v>77</v>
      </c>
      <c r="B29" s="41" t="s">
        <v>200</v>
      </c>
      <c r="C29" s="506" t="s">
        <v>201</v>
      </c>
      <c r="D29" s="506"/>
      <c r="E29" s="506"/>
      <c r="F29" s="506"/>
      <c r="G29" s="18">
        <f>SUM(G23:G28)</f>
        <v>350000.3</v>
      </c>
      <c r="H29" s="18">
        <f>SUM(H23:H28)</f>
        <v>0</v>
      </c>
      <c r="I29" s="18">
        <f>SUM(I24:I28)</f>
        <v>350000.3</v>
      </c>
      <c r="J29" s="18">
        <v>0</v>
      </c>
    </row>
    <row r="30" spans="1:10" ht="15">
      <c r="A30" s="42" t="s">
        <v>80</v>
      </c>
      <c r="B30" s="21" t="s">
        <v>202</v>
      </c>
      <c r="C30" s="7" t="s">
        <v>203</v>
      </c>
      <c r="D30" s="22"/>
      <c r="E30" s="22"/>
      <c r="F30" s="22"/>
      <c r="G30" s="47"/>
      <c r="H30" s="9"/>
      <c r="I30" s="9"/>
      <c r="J30" s="9"/>
    </row>
    <row r="31" spans="1:10" ht="15">
      <c r="A31" s="13" t="s">
        <v>83</v>
      </c>
      <c r="B31" s="41" t="s">
        <v>204</v>
      </c>
      <c r="C31" s="23" t="s">
        <v>203</v>
      </c>
      <c r="D31" s="23"/>
      <c r="E31" s="23"/>
      <c r="F31" s="23"/>
      <c r="G31" s="18">
        <f>SUM(G30)</f>
        <v>0</v>
      </c>
      <c r="H31" s="18">
        <v>0</v>
      </c>
      <c r="I31" s="18">
        <v>0</v>
      </c>
      <c r="J31" s="18">
        <v>0</v>
      </c>
    </row>
    <row r="32" spans="1:10" ht="38.25">
      <c r="A32" s="5" t="s">
        <v>86</v>
      </c>
      <c r="B32" s="10" t="s">
        <v>206</v>
      </c>
      <c r="C32" s="502" t="s">
        <v>207</v>
      </c>
      <c r="D32" s="502"/>
      <c r="E32" s="502"/>
      <c r="F32" s="502"/>
      <c r="G32" s="8"/>
      <c r="H32" s="9"/>
      <c r="I32" s="9"/>
      <c r="J32" s="9"/>
    </row>
    <row r="33" spans="1:10" ht="15">
      <c r="A33" s="13" t="s">
        <v>89</v>
      </c>
      <c r="B33" s="14" t="s">
        <v>208</v>
      </c>
      <c r="C33" s="506" t="s">
        <v>209</v>
      </c>
      <c r="D33" s="506"/>
      <c r="E33" s="506"/>
      <c r="F33" s="506"/>
      <c r="G33" s="18">
        <f>SUM(G32)</f>
        <v>0</v>
      </c>
      <c r="H33" s="18">
        <v>0</v>
      </c>
      <c r="I33" s="18">
        <v>0</v>
      </c>
      <c r="J33" s="18">
        <v>0</v>
      </c>
    </row>
    <row r="34" spans="1:10" ht="25.5">
      <c r="A34" s="5" t="s">
        <v>92</v>
      </c>
      <c r="B34" s="10" t="s">
        <v>210</v>
      </c>
      <c r="C34" s="7" t="s">
        <v>211</v>
      </c>
      <c r="D34" s="22"/>
      <c r="E34" s="22"/>
      <c r="F34" s="22"/>
      <c r="G34" s="47"/>
      <c r="H34" s="9"/>
      <c r="I34" s="9"/>
      <c r="J34" s="9"/>
    </row>
    <row r="35" spans="1:10" ht="15">
      <c r="A35" s="13" t="s">
        <v>95</v>
      </c>
      <c r="B35" s="14" t="s">
        <v>212</v>
      </c>
      <c r="C35" s="506" t="s">
        <v>213</v>
      </c>
      <c r="D35" s="506"/>
      <c r="E35" s="506"/>
      <c r="F35" s="506"/>
      <c r="G35" s="18">
        <f>SUM(G34)</f>
        <v>0</v>
      </c>
      <c r="H35" s="18">
        <v>0</v>
      </c>
      <c r="I35" s="18">
        <v>0</v>
      </c>
      <c r="J35" s="18">
        <v>0</v>
      </c>
    </row>
    <row r="36" spans="1:10" ht="25.5">
      <c r="A36" s="13" t="s">
        <v>98</v>
      </c>
      <c r="B36" s="28" t="s">
        <v>214</v>
      </c>
      <c r="C36" s="506" t="s">
        <v>215</v>
      </c>
      <c r="D36" s="506"/>
      <c r="E36" s="506"/>
      <c r="F36" s="506"/>
      <c r="G36" s="18">
        <f>G15+G17+G22+G29+G33+G35</f>
        <v>350000.3</v>
      </c>
      <c r="H36" s="18">
        <f>H35+H33+H31+H29+H22+H17+H15</f>
        <v>0</v>
      </c>
      <c r="I36" s="18">
        <f>I15+I17+I22+I29+I31+I33+I35</f>
        <v>350000.3</v>
      </c>
      <c r="J36" s="18">
        <v>0</v>
      </c>
    </row>
    <row r="37" spans="1:10" ht="15">
      <c r="A37" s="29"/>
      <c r="B37" s="2"/>
      <c r="C37" s="2"/>
      <c r="D37" s="2"/>
      <c r="E37" s="2"/>
      <c r="F37" s="2"/>
      <c r="G37" s="30"/>
      <c r="H37" s="2"/>
      <c r="I37" s="2"/>
      <c r="J37" s="2"/>
    </row>
    <row r="38" spans="1:10" ht="15">
      <c r="A38" s="523" t="s">
        <v>216</v>
      </c>
      <c r="B38" s="523"/>
      <c r="C38" s="523"/>
      <c r="D38" s="523"/>
      <c r="E38" s="523"/>
      <c r="F38" s="523"/>
      <c r="G38" s="523"/>
      <c r="H38" s="556"/>
      <c r="I38" s="556"/>
      <c r="J38" s="556"/>
    </row>
    <row r="39" spans="1:11" ht="15">
      <c r="A39" s="495" t="s">
        <v>3</v>
      </c>
      <c r="B39" s="496" t="s">
        <v>4</v>
      </c>
      <c r="C39" s="497" t="s">
        <v>5</v>
      </c>
      <c r="D39" s="497"/>
      <c r="E39" s="497"/>
      <c r="F39" s="497"/>
      <c r="G39" s="498" t="s">
        <v>144</v>
      </c>
      <c r="H39" s="557"/>
      <c r="I39" s="557"/>
      <c r="J39" s="557"/>
      <c r="K39" s="298"/>
    </row>
    <row r="40" spans="1:11" ht="15">
      <c r="A40" s="495"/>
      <c r="B40" s="496"/>
      <c r="C40" s="497"/>
      <c r="D40" s="497"/>
      <c r="E40" s="497"/>
      <c r="F40" s="497"/>
      <c r="G40" s="498"/>
      <c r="H40" s="299"/>
      <c r="I40" s="299"/>
      <c r="J40" s="299"/>
      <c r="K40" s="298"/>
    </row>
    <row r="41" spans="1:11" ht="25.5">
      <c r="A41" s="5" t="s">
        <v>101</v>
      </c>
      <c r="B41" s="19" t="s">
        <v>217</v>
      </c>
      <c r="C41" s="502" t="s">
        <v>218</v>
      </c>
      <c r="D41" s="502"/>
      <c r="E41" s="502"/>
      <c r="F41" s="502"/>
      <c r="G41" s="8">
        <f>774304+15405</f>
        <v>789709</v>
      </c>
      <c r="H41" s="300"/>
      <c r="I41" s="297"/>
      <c r="J41" s="297"/>
      <c r="K41" s="298"/>
    </row>
    <row r="42" spans="1:11" ht="15">
      <c r="A42" s="5" t="s">
        <v>104</v>
      </c>
      <c r="B42" s="19" t="s">
        <v>219</v>
      </c>
      <c r="C42" s="502" t="s">
        <v>220</v>
      </c>
      <c r="D42" s="502"/>
      <c r="E42" s="502"/>
      <c r="F42" s="502"/>
      <c r="G42" s="8"/>
      <c r="H42" s="297"/>
      <c r="I42" s="297"/>
      <c r="J42" s="297"/>
      <c r="K42" s="298"/>
    </row>
    <row r="43" spans="1:11" ht="15">
      <c r="A43" s="5" t="s">
        <v>107</v>
      </c>
      <c r="B43" s="19" t="s">
        <v>221</v>
      </c>
      <c r="C43" s="43" t="s">
        <v>222</v>
      </c>
      <c r="D43" s="44"/>
      <c r="E43" s="44"/>
      <c r="F43" s="45"/>
      <c r="G43" s="8">
        <f>'Könyvtár kiad'!G60-'Könyvtár bev.'!G36-'Könyvtár bev.'!G41</f>
        <v>17547707.76</v>
      </c>
      <c r="H43" s="300"/>
      <c r="I43" s="297"/>
      <c r="J43" s="297"/>
      <c r="K43" s="298"/>
    </row>
    <row r="44" spans="1:11" ht="15">
      <c r="A44" s="13" t="s">
        <v>110</v>
      </c>
      <c r="B44" s="28" t="s">
        <v>223</v>
      </c>
      <c r="C44" s="509" t="s">
        <v>224</v>
      </c>
      <c r="D44" s="510"/>
      <c r="E44" s="510"/>
      <c r="F44" s="511"/>
      <c r="G44" s="18">
        <f>SUM(G41:G43)</f>
        <v>18337416.76</v>
      </c>
      <c r="H44" s="301"/>
      <c r="I44" s="297"/>
      <c r="J44" s="297"/>
      <c r="K44" s="298"/>
    </row>
    <row r="45" spans="1:11" ht="15">
      <c r="A45" s="36"/>
      <c r="B45" s="2"/>
      <c r="C45" s="2"/>
      <c r="D45" s="2"/>
      <c r="E45" s="2"/>
      <c r="F45" s="2"/>
      <c r="G45" s="30"/>
      <c r="H45" s="297"/>
      <c r="I45" s="297"/>
      <c r="J45" s="297"/>
      <c r="K45" s="298"/>
    </row>
    <row r="46" spans="1:11" ht="15">
      <c r="A46" s="37"/>
      <c r="B46" s="38" t="s">
        <v>225</v>
      </c>
      <c r="C46" s="510"/>
      <c r="D46" s="510"/>
      <c r="E46" s="510"/>
      <c r="F46" s="510"/>
      <c r="G46" s="303">
        <f>G44+G36</f>
        <v>18687417.060000002</v>
      </c>
      <c r="H46" s="301">
        <f>G46-'Könyvtár kiad'!G60</f>
        <v>0</v>
      </c>
      <c r="I46" s="297"/>
      <c r="J46" s="297"/>
      <c r="K46" s="302"/>
    </row>
    <row r="47" spans="8:11" ht="15">
      <c r="H47" s="298"/>
      <c r="I47" s="298"/>
      <c r="J47" s="298"/>
      <c r="K47" s="298"/>
    </row>
    <row r="48" spans="8:11" ht="15">
      <c r="H48" s="298"/>
      <c r="I48" s="298"/>
      <c r="J48" s="298"/>
      <c r="K48" s="298"/>
    </row>
  </sheetData>
  <sheetProtection/>
  <mergeCells count="45">
    <mergeCell ref="A1:J1"/>
    <mergeCell ref="A3:J3"/>
    <mergeCell ref="A4:J4"/>
    <mergeCell ref="A5:A6"/>
    <mergeCell ref="B5:B6"/>
    <mergeCell ref="C5:F6"/>
    <mergeCell ref="G5:G6"/>
    <mergeCell ref="H5:J5"/>
    <mergeCell ref="C7:F7"/>
    <mergeCell ref="C8:F8"/>
    <mergeCell ref="C9:F9"/>
    <mergeCell ref="C12:F12"/>
    <mergeCell ref="C13:F13"/>
    <mergeCell ref="C14:F14"/>
    <mergeCell ref="C10:F10"/>
    <mergeCell ref="C11:F11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H39:J39"/>
    <mergeCell ref="C27:F27"/>
    <mergeCell ref="C28:F28"/>
    <mergeCell ref="C29:F29"/>
    <mergeCell ref="C32:F32"/>
    <mergeCell ref="C33:F33"/>
    <mergeCell ref="C35:F35"/>
    <mergeCell ref="C41:F41"/>
    <mergeCell ref="C42:F42"/>
    <mergeCell ref="C44:F44"/>
    <mergeCell ref="C46:F46"/>
    <mergeCell ref="C36:F36"/>
    <mergeCell ref="A38:J38"/>
    <mergeCell ref="A39:A40"/>
    <mergeCell ref="B39:B40"/>
    <mergeCell ref="C39:F40"/>
    <mergeCell ref="G39:G40"/>
  </mergeCells>
  <printOptions/>
  <pageMargins left="0.7" right="0.7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2022-02-10T17:00:57Z</cp:lastPrinted>
  <dcterms:created xsi:type="dcterms:W3CDTF">2022-01-21T20:06:41Z</dcterms:created>
  <dcterms:modified xsi:type="dcterms:W3CDTF">2022-02-11T11:15:11Z</dcterms:modified>
  <cp:category/>
  <cp:version/>
  <cp:contentType/>
  <cp:contentStatus/>
</cp:coreProperties>
</file>