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4"/>
  </bookViews>
  <sheets>
    <sheet name="önkorm.bev" sheetId="1" r:id="rId1"/>
    <sheet name="önkorm. kiad" sheetId="2" r:id="rId2"/>
    <sheet name="Hivatal bevétel" sheetId="3" r:id="rId3"/>
    <sheet name="Hiv. kiadás" sheetId="4" r:id="rId4"/>
    <sheet name="Óvoda bev." sheetId="5" r:id="rId5"/>
    <sheet name="Óvoda kiad." sheetId="6" r:id="rId6"/>
    <sheet name="Bölcsőde bevét." sheetId="7" r:id="rId7"/>
    <sheet name="Bölcsőde kiad." sheetId="8" r:id="rId8"/>
    <sheet name="Könyvtár bev." sheetId="9" r:id="rId9"/>
    <sheet name="Könyvtár kiad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TB, közfogl, 
</t>
        </r>
      </text>
    </comment>
    <comment ref="B3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úthozzájárulások</t>
        </r>
      </text>
    </comment>
  </commentList>
</comments>
</file>

<file path=xl/comments2.xml><?xml version="1.0" encoding="utf-8"?>
<comments xmlns="http://schemas.openxmlformats.org/spreadsheetml/2006/main">
  <authors>
    <author>Rupert ?gnes</author>
  </authors>
  <commentList>
    <comment ref="B35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segélyek</t>
        </r>
      </text>
    </comment>
    <comment ref="B37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Bursa Hungarika, 
</t>
        </r>
      </text>
    </comment>
    <comment ref="B55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2020 évi megelőlegezések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eladott termény, termék bev.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eladott termény, termék bev.</t>
        </r>
      </text>
    </comment>
  </commentList>
</comments>
</file>

<file path=xl/sharedStrings.xml><?xml version="1.0" encoding="utf-8"?>
<sst xmlns="http://schemas.openxmlformats.org/spreadsheetml/2006/main" count="1396" uniqueCount="245">
  <si>
    <t>4. melléklet a …………………... önkormányzati rendelethez</t>
  </si>
  <si>
    <t xml:space="preserve">SZENTMÁRTONKÁTA NAGYKÖZSÉG ÖNKORMÁNYZATA </t>
  </si>
  <si>
    <t>K1-K8. Költségvetési kiadások</t>
  </si>
  <si>
    <t>Sor-
szám</t>
  </si>
  <si>
    <t>Rovat megnevezése</t>
  </si>
  <si>
    <t>Rovat
szám</t>
  </si>
  <si>
    <t>Eredeti előriányzat 2021</t>
  </si>
  <si>
    <t>Ebből:</t>
  </si>
  <si>
    <t>Kötelező        feladat</t>
  </si>
  <si>
    <t>Önként váll.  feladat</t>
  </si>
  <si>
    <t>Állami            feladat</t>
  </si>
  <si>
    <t>01</t>
  </si>
  <si>
    <t>Törvény szerinti illetmények, munkabérek</t>
  </si>
  <si>
    <t>K1101</t>
  </si>
  <si>
    <t>02</t>
  </si>
  <si>
    <t>Céljuttatás, projektprémium</t>
  </si>
  <si>
    <t>K1103</t>
  </si>
  <si>
    <t>03</t>
  </si>
  <si>
    <t>Készenléti, ügyeleti, helyettesítési díj, túlóra, túlszolgálat</t>
  </si>
  <si>
    <t>K1104</t>
  </si>
  <si>
    <t>04</t>
  </si>
  <si>
    <t>Jubileumi jutalom</t>
  </si>
  <si>
    <t>K1106</t>
  </si>
  <si>
    <t>05</t>
  </si>
  <si>
    <t>Béren kívüli juttatások</t>
  </si>
  <si>
    <t>K1107</t>
  </si>
  <si>
    <t>06</t>
  </si>
  <si>
    <t>Ruházati költségtérítés</t>
  </si>
  <si>
    <t>K1108</t>
  </si>
  <si>
    <t>07</t>
  </si>
  <si>
    <t>Közlekedési költségtérítés</t>
  </si>
  <si>
    <t>K1109</t>
  </si>
  <si>
    <t>08</t>
  </si>
  <si>
    <t>Egyéb költségtérítések</t>
  </si>
  <si>
    <t>K1110</t>
  </si>
  <si>
    <t>09</t>
  </si>
  <si>
    <t>Foglalkoztatottak egyéb juttatásai</t>
  </si>
  <si>
    <t>K1113</t>
  </si>
  <si>
    <t>10</t>
  </si>
  <si>
    <t>Választott tisztségviselők juttatásai</t>
  </si>
  <si>
    <t>K121</t>
  </si>
  <si>
    <t>11</t>
  </si>
  <si>
    <t>Munkavégzésre irányuló egyéb jogviszonyban nem saját foglalkoztatottnak fizetett juttatások</t>
  </si>
  <si>
    <t>K122</t>
  </si>
  <si>
    <t>12</t>
  </si>
  <si>
    <t>Egyéb külső személyi juttatások</t>
  </si>
  <si>
    <t>K123</t>
  </si>
  <si>
    <t>13</t>
  </si>
  <si>
    <t>Személyi juttatások</t>
  </si>
  <si>
    <t>K1</t>
  </si>
  <si>
    <t>14</t>
  </si>
  <si>
    <t>Munkaadókat terhelő járulékok és szociális hozzájárulási adó</t>
  </si>
  <si>
    <t>K2</t>
  </si>
  <si>
    <t>15</t>
  </si>
  <si>
    <t>Szakmai anyagok beszerzése</t>
  </si>
  <si>
    <t>K311</t>
  </si>
  <si>
    <t>16</t>
  </si>
  <si>
    <t>Üzemeltetési anyagok beszerzése</t>
  </si>
  <si>
    <t>K312</t>
  </si>
  <si>
    <t>17</t>
  </si>
  <si>
    <t>Informatikai szolgáltatások igénybevétele</t>
  </si>
  <si>
    <t>K321</t>
  </si>
  <si>
    <t>18</t>
  </si>
  <si>
    <t>Egyéb kommunikációs szolgáltatások</t>
  </si>
  <si>
    <t>K322</t>
  </si>
  <si>
    <t>19</t>
  </si>
  <si>
    <t>Közüzemi díjak</t>
  </si>
  <si>
    <t>K331</t>
  </si>
  <si>
    <t>20</t>
  </si>
  <si>
    <t>Karbantartási, kisjavítási szolgáltatások</t>
  </si>
  <si>
    <t>K334</t>
  </si>
  <si>
    <t>21</t>
  </si>
  <si>
    <t>Közvetített szolgáltatások</t>
  </si>
  <si>
    <t>K335</t>
  </si>
  <si>
    <t>22</t>
  </si>
  <si>
    <t>Szakmai tevékenységet segítő szolgáltatások</t>
  </si>
  <si>
    <t>K336</t>
  </si>
  <si>
    <t>23</t>
  </si>
  <si>
    <t>Egyéb szolgáltatások</t>
  </si>
  <si>
    <t>K337</t>
  </si>
  <si>
    <t>24</t>
  </si>
  <si>
    <t>Kiküldetések kiadásai</t>
  </si>
  <si>
    <t>K341</t>
  </si>
  <si>
    <t>25</t>
  </si>
  <si>
    <t>Működési célú előzetesen felszámított általános forgalmi adó</t>
  </si>
  <si>
    <t>K351</t>
  </si>
  <si>
    <t>26</t>
  </si>
  <si>
    <t>Fizetendő általános forgalmi adó</t>
  </si>
  <si>
    <t>K352</t>
  </si>
  <si>
    <t>27</t>
  </si>
  <si>
    <t>Dologi kiadások</t>
  </si>
  <si>
    <t>K3</t>
  </si>
  <si>
    <t>28</t>
  </si>
  <si>
    <t>Betegséggel kapcsolatos ellátások</t>
  </si>
  <si>
    <t>K44</t>
  </si>
  <si>
    <t>29</t>
  </si>
  <si>
    <t>Egyéb nem intézményi ellátások</t>
  </si>
  <si>
    <t>K48</t>
  </si>
  <si>
    <t>30</t>
  </si>
  <si>
    <t>Ellátottak pénzbeli juttatásai</t>
  </si>
  <si>
    <t>K4</t>
  </si>
  <si>
    <t>31</t>
  </si>
  <si>
    <t>Egyéb működési célú támogatások államháztartáson belülre</t>
  </si>
  <si>
    <t>K506</t>
  </si>
  <si>
    <t>32</t>
  </si>
  <si>
    <t>Egyéb működési célú támogatások államháztartáson kívülre</t>
  </si>
  <si>
    <t>K512</t>
  </si>
  <si>
    <t>33</t>
  </si>
  <si>
    <t>Tartalékok</t>
  </si>
  <si>
    <t>K513</t>
  </si>
  <si>
    <t>34</t>
  </si>
  <si>
    <t>Egyéb működési célú kiadások</t>
  </si>
  <si>
    <t>K5</t>
  </si>
  <si>
    <t>35</t>
  </si>
  <si>
    <t>Ingatlanok beszerzése, létesítése</t>
  </si>
  <si>
    <t>K62</t>
  </si>
  <si>
    <t>36</t>
  </si>
  <si>
    <t>Egyéb tárgyi eszközök beszerzése, létesítése</t>
  </si>
  <si>
    <t>K64</t>
  </si>
  <si>
    <t>37</t>
  </si>
  <si>
    <t>Beruházási célú előzetesen felszámított általános forgalmi adó</t>
  </si>
  <si>
    <t>K67</t>
  </si>
  <si>
    <t>38</t>
  </si>
  <si>
    <t>Beruházások</t>
  </si>
  <si>
    <t>K6</t>
  </si>
  <si>
    <t>39</t>
  </si>
  <si>
    <t>Ingatlanok felújítása</t>
  </si>
  <si>
    <t>K71</t>
  </si>
  <si>
    <t>40</t>
  </si>
  <si>
    <t>Felújítási célú előzetesen felszámított általános forgalmi adó</t>
  </si>
  <si>
    <t>K74</t>
  </si>
  <si>
    <t>41</t>
  </si>
  <si>
    <t>Felújítások</t>
  </si>
  <si>
    <t>K7</t>
  </si>
  <si>
    <t>42</t>
  </si>
  <si>
    <t>Felhalmozási célú garancia- és kezességvállalásból származó kifizetés államháztartáson kívülre</t>
  </si>
  <si>
    <t>K85</t>
  </si>
  <si>
    <t>43</t>
  </si>
  <si>
    <t>Egyéb felhalmozási célú kiadások</t>
  </si>
  <si>
    <t>K8</t>
  </si>
  <si>
    <t>44</t>
  </si>
  <si>
    <t>Költségvetési kiadások</t>
  </si>
  <si>
    <t>K1-K8</t>
  </si>
  <si>
    <t>K9. Finanszírozási kiadások</t>
  </si>
  <si>
    <t>Eredeti előriányzat</t>
  </si>
  <si>
    <t>Államháztartáson belüli megelőlegezések visszafizetése</t>
  </si>
  <si>
    <t>K914</t>
  </si>
  <si>
    <t>45</t>
  </si>
  <si>
    <t>Központi irányítő szervi támogatások folyósítása</t>
  </si>
  <si>
    <t>K915</t>
  </si>
  <si>
    <t>46</t>
  </si>
  <si>
    <t>Finanszírozási kiadások</t>
  </si>
  <si>
    <t>K9</t>
  </si>
  <si>
    <t>Kiadások mindösszesen</t>
  </si>
  <si>
    <t>3. melléklet a ………….. önkormányzati rendelethez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</si>
  <si>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</si>
  <si>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</si>
  <si>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</si>
  <si>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</si>
  <si>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</si>
  <si>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</si>
  <si>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</si>
  <si>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</si>
  <si>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</si>
  <si>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</si>
  <si>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</si>
  <si>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</si>
  <si>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</si>
  <si>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</si>
  <si>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</si>
  <si>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>Egyéb működési célú támogatások bevételei államháztartáson belülről</t>
  </si>
  <si>
    <t>B16</t>
  </si>
  <si>
    <t>Működési célú támogatások államháztartáson belülről (=09+…+14)</t>
  </si>
  <si>
    <t>B1</t>
  </si>
  <si>
    <t>Egyéb felhalmozási célú támogatások bevételei államháztartáson belülről</t>
  </si>
  <si>
    <t>B25</t>
  </si>
  <si>
    <t>Felhalmozási célú támogatások államháztartáson belülről (=16+…+20)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</si>
  <si>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</si>
  <si>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</si>
  <si>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</si>
  <si>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</si>
  <si>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</si>
  <si>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</si>
  <si>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</si>
  <si>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</si>
  <si>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</si>
  <si>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>Közhatalmi bevételek (=27+...+34)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</si>
  <si>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</si>
  <si>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</si>
  <si>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</si>
  <si>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</si>
  <si>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</si>
  <si>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</si>
  <si>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</si>
  <si>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</si>
  <si>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</si>
  <si>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</si>
  <si>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</si>
  <si>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</si>
  <si>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</si>
  <si>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Működési bevételek (=36+…+41)</t>
  </si>
  <si>
    <t>B4</t>
  </si>
  <si>
    <t>Ingatlanok értékesítése</t>
  </si>
  <si>
    <t>B52</t>
  </si>
  <si>
    <t>Felhalmozási bevételek</t>
  </si>
  <si>
    <t>B5</t>
  </si>
  <si>
    <t>Működési célú visszatérítendő támogatások, kölcsönök visszatérülése államháztartáson kívülről</t>
  </si>
  <si>
    <t>B64</t>
  </si>
  <si>
    <t>Működési célú átvett pénzeszközök (=61)</t>
  </si>
  <si>
    <t>B6</t>
  </si>
  <si>
    <t>Egyéb felhalmozási célú átvett pénzeszközök</t>
  </si>
  <si>
    <t>B75</t>
  </si>
  <si>
    <t>Felhalmozási célú átvett pénzeszközök</t>
  </si>
  <si>
    <t>B7</t>
  </si>
  <si>
    <t>Költségvetési bevételek (=15+21+35+51+63+69)</t>
  </si>
  <si>
    <t>B1-B7</t>
  </si>
  <si>
    <t>B8. Finanszírozási bevételek bevételek</t>
  </si>
  <si>
    <t xml:space="preserve">Előző év költségvetési maradványnak igénybevétele </t>
  </si>
  <si>
    <t>B8131</t>
  </si>
  <si>
    <t>Maradvány igénybevétele</t>
  </si>
  <si>
    <t>B813</t>
  </si>
  <si>
    <t>Központi, irányító szervi támogatás</t>
  </si>
  <si>
    <t>B816</t>
  </si>
  <si>
    <t>Finanszírozási bevételek</t>
  </si>
  <si>
    <t>B8</t>
  </si>
  <si>
    <t>Bevételek mindösszesen</t>
  </si>
  <si>
    <t>5. melléklet a …………………….. önkormányzati rendelethez</t>
  </si>
  <si>
    <t>SZENTMÁRTONKÁTA KÖZÖS ÖNKORMÁNYZATAI HIVATAL</t>
  </si>
  <si>
    <t xml:space="preserve">B8. Finanszírozási bevételek </t>
  </si>
  <si>
    <t>6. melléklet a ………………….. önkormányzati rendelethez</t>
  </si>
  <si>
    <t>SZENTMÁRTONKÁTAI KÖZÖS ÖNKORMÁNYZATI HIVATAL</t>
  </si>
  <si>
    <t>7. melléklet a ………………. önkormányzati rendelethez</t>
  </si>
  <si>
    <t>SZENTMÁRTONKÁTAI APRAJAFALVA ÓVODA ÉS KONYHA</t>
  </si>
  <si>
    <t>8. melléklet a …………………. önkormányzati rendelethez</t>
  </si>
  <si>
    <t>Készenléti, ügeleti, helyettesítési díj, túlóra, túlszolgálat</t>
  </si>
  <si>
    <t>Informatikai eszközök beszerzése</t>
  </si>
  <si>
    <t>K63</t>
  </si>
  <si>
    <t>7. melléklet a …………... önkormányzati rendelethez</t>
  </si>
  <si>
    <t>Vásárolt élelmezés</t>
  </si>
  <si>
    <t>K332</t>
  </si>
  <si>
    <t>9. melléklet a ……………….. önkormányzati rendelethez</t>
  </si>
  <si>
    <t>SZABÓ MAGDA NAGYKÖZSÉGI KÖNYVTÁR ÉS MŰVELŐDÉSI HÁZ</t>
  </si>
  <si>
    <t>10. melléklet a ………………...önkormányzati rendelethez</t>
  </si>
  <si>
    <t>Törvéy szerinti illetmények, munkabérek</t>
  </si>
  <si>
    <t>Állami normatíva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</si>
</sst>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quotePrefix="1">
      <alignment horizontal="center"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horizontal="right" vertical="center"/>
      <protection/>
    </xf>
    <xf numFmtId="0" fontId="46" fillId="0" borderId="10" xfId="0" applyFont="1" applyBorder="1" applyAlignment="1">
      <alignment/>
    </xf>
    <xf numFmtId="0" fontId="5" fillId="0" borderId="10" xfId="54" applyFont="1" applyFill="1" applyBorder="1" applyAlignment="1">
      <alignment horizontal="left" vertical="center" wrapText="1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6" fillId="0" borderId="10" xfId="0" applyFont="1" applyFill="1" applyBorder="1" applyAlignment="1">
      <alignment/>
    </xf>
    <xf numFmtId="49" fontId="2" fillId="33" borderId="10" xfId="54" applyNumberFormat="1" applyFont="1" applyFill="1" applyBorder="1" applyAlignment="1" quotePrefix="1">
      <alignment horizontal="center" vertic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3" fontId="2" fillId="33" borderId="10" xfId="54" applyNumberFormat="1" applyFont="1" applyFill="1" applyBorder="1" applyAlignment="1">
      <alignment horizontal="right" vertical="center"/>
      <protection/>
    </xf>
    <xf numFmtId="3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3" fontId="4" fillId="33" borderId="10" xfId="55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3" fontId="6" fillId="0" borderId="10" xfId="54" applyNumberFormat="1" applyFont="1" applyFill="1" applyBorder="1" applyAlignment="1">
      <alignment horizontal="right" vertical="center"/>
      <protection/>
    </xf>
    <xf numFmtId="0" fontId="46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1" fontId="2" fillId="33" borderId="10" xfId="54" applyNumberFormat="1" applyFont="1" applyFill="1" applyBorder="1" applyAlignment="1">
      <alignment horizontal="left" vertical="center" wrapText="1"/>
      <protection/>
    </xf>
    <xf numFmtId="49" fontId="5" fillId="34" borderId="10" xfId="54" applyNumberFormat="1" applyFont="1" applyFill="1" applyBorder="1" applyAlignment="1" quotePrefix="1">
      <alignment horizontal="center" vertical="center"/>
      <protection/>
    </xf>
    <xf numFmtId="11" fontId="5" fillId="34" borderId="10" xfId="54" applyNumberFormat="1" applyFont="1" applyFill="1" applyBorder="1" applyAlignment="1">
      <alignment horizontal="left" vertical="center" wrapText="1"/>
      <protection/>
    </xf>
    <xf numFmtId="0" fontId="5" fillId="34" borderId="10" xfId="54" applyFont="1" applyFill="1" applyBorder="1" applyAlignment="1">
      <alignment horizontal="left" vertical="center"/>
      <protection/>
    </xf>
    <xf numFmtId="3" fontId="6" fillId="34" borderId="10" xfId="55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/>
    </xf>
    <xf numFmtId="0" fontId="4" fillId="33" borderId="10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47" fillId="0" borderId="0" xfId="0" applyFont="1" applyFill="1" applyAlignment="1">
      <alignment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49" fontId="46" fillId="0" borderId="0" xfId="0" applyNumberFormat="1" applyFont="1" applyAlignment="1">
      <alignment/>
    </xf>
    <xf numFmtId="49" fontId="2" fillId="33" borderId="12" xfId="54" applyNumberFormat="1" applyFont="1" applyFill="1" applyBorder="1" applyAlignment="1" quotePrefix="1">
      <alignment horizontal="center" vertical="center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2" fillId="33" borderId="13" xfId="54" applyFont="1" applyFill="1" applyBorder="1" applyAlignment="1">
      <alignment horizontal="left" vertical="center"/>
      <protection/>
    </xf>
    <xf numFmtId="3" fontId="4" fillId="33" borderId="13" xfId="55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0" fontId="50" fillId="33" borderId="10" xfId="54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 quotePrefix="1">
      <alignment horizontal="center" vertical="center"/>
      <protection/>
    </xf>
    <xf numFmtId="0" fontId="48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3" xfId="54" applyFont="1" applyFill="1" applyBorder="1" applyAlignment="1">
      <alignment horizontal="left" vertical="center"/>
      <protection/>
    </xf>
    <xf numFmtId="0" fontId="5" fillId="0" borderId="14" xfId="54" applyFont="1" applyFill="1" applyBorder="1" applyAlignment="1">
      <alignment horizontal="left" vertical="center"/>
      <protection/>
    </xf>
    <xf numFmtId="0" fontId="2" fillId="33" borderId="12" xfId="54" applyFont="1" applyFill="1" applyBorder="1" applyAlignment="1">
      <alignment horizontal="left" vertical="center"/>
      <protection/>
    </xf>
    <xf numFmtId="0" fontId="2" fillId="33" borderId="14" xfId="54" applyFont="1" applyFill="1" applyBorder="1" applyAlignment="1">
      <alignment horizontal="left" vertical="center"/>
      <protection/>
    </xf>
    <xf numFmtId="49" fontId="48" fillId="0" borderId="0" xfId="0" applyNumberFormat="1" applyFont="1" applyAlignment="1">
      <alignment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0" fontId="50" fillId="33" borderId="10" xfId="0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3" fontId="5" fillId="0" borderId="12" xfId="54" applyNumberFormat="1" applyFont="1" applyFill="1" applyBorder="1" applyAlignment="1">
      <alignment horizontal="right" vertical="center"/>
      <protection/>
    </xf>
    <xf numFmtId="3" fontId="6" fillId="0" borderId="12" xfId="55" applyNumberFormat="1" applyFont="1" applyFill="1" applyBorder="1" applyAlignment="1">
      <alignment horizontal="right" vertical="center" wrapText="1"/>
      <protection/>
    </xf>
    <xf numFmtId="3" fontId="2" fillId="33" borderId="12" xfId="54" applyNumberFormat="1" applyFont="1" applyFill="1" applyBorder="1" applyAlignment="1">
      <alignment horizontal="right" vertical="center"/>
      <protection/>
    </xf>
    <xf numFmtId="3" fontId="4" fillId="33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3" fontId="50" fillId="33" borderId="0" xfId="0" applyNumberFormat="1" applyFont="1" applyFill="1" applyAlignment="1">
      <alignment horizontal="right"/>
    </xf>
    <xf numFmtId="3" fontId="50" fillId="33" borderId="10" xfId="0" applyNumberFormat="1" applyFont="1" applyFill="1" applyBorder="1" applyAlignment="1">
      <alignment horizontal="right"/>
    </xf>
    <xf numFmtId="3" fontId="46" fillId="0" borderId="10" xfId="54" applyNumberFormat="1" applyFont="1" applyFill="1" applyBorder="1" applyAlignment="1">
      <alignment horizontal="right" vertical="center"/>
      <protection/>
    </xf>
    <xf numFmtId="164" fontId="6" fillId="0" borderId="14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3" fontId="4" fillId="34" borderId="10" xfId="55" applyNumberFormat="1" applyFont="1" applyFill="1" applyBorder="1" applyAlignment="1">
      <alignment horizontal="right" vertical="center" wrapText="1"/>
      <protection/>
    </xf>
    <xf numFmtId="3" fontId="51" fillId="0" borderId="10" xfId="54" applyNumberFormat="1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right" vertical="center"/>
    </xf>
    <xf numFmtId="0" fontId="4" fillId="33" borderId="12" xfId="54" applyFont="1" applyFill="1" applyBorder="1" applyAlignment="1">
      <alignment horizontal="right" vertical="center" wrapText="1"/>
      <protection/>
    </xf>
    <xf numFmtId="0" fontId="4" fillId="33" borderId="13" xfId="54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right" vertical="center" wrapText="1"/>
    </xf>
    <xf numFmtId="49" fontId="5" fillId="0" borderId="10" xfId="54" applyNumberFormat="1" applyFont="1" applyFill="1" applyBorder="1" applyAlignment="1" quotePrefix="1">
      <alignment horizontal="right" vertical="center"/>
      <protection/>
    </xf>
    <xf numFmtId="0" fontId="5" fillId="0" borderId="10" xfId="54" applyFont="1" applyFill="1" applyBorder="1" applyAlignment="1">
      <alignment horizontal="right" vertical="center" wrapText="1"/>
      <protection/>
    </xf>
    <xf numFmtId="0" fontId="46" fillId="0" borderId="10" xfId="0" applyFont="1" applyBorder="1" applyAlignment="1">
      <alignment horizontal="right" vertical="center"/>
    </xf>
    <xf numFmtId="0" fontId="5" fillId="0" borderId="10" xfId="54" applyFont="1" applyFill="1" applyBorder="1" applyAlignment="1">
      <alignment horizontal="right" vertical="center"/>
      <protection/>
    </xf>
    <xf numFmtId="0" fontId="46" fillId="0" borderId="10" xfId="0" applyFont="1" applyFill="1" applyBorder="1" applyAlignment="1">
      <alignment horizontal="right" vertical="center"/>
    </xf>
    <xf numFmtId="49" fontId="2" fillId="33" borderId="10" xfId="54" applyNumberFormat="1" applyFont="1" applyFill="1" applyBorder="1" applyAlignment="1" quotePrefix="1">
      <alignment horizontal="right" vertical="center"/>
      <protection/>
    </xf>
    <xf numFmtId="0" fontId="2" fillId="33" borderId="10" xfId="54" applyFont="1" applyFill="1" applyBorder="1" applyAlignment="1">
      <alignment horizontal="right" vertical="center" wrapText="1"/>
      <protection/>
    </xf>
    <xf numFmtId="164" fontId="6" fillId="0" borderId="14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0" fontId="6" fillId="0" borderId="10" xfId="54" applyFont="1" applyFill="1" applyBorder="1" applyAlignment="1">
      <alignment horizontal="right" vertical="center" wrapText="1"/>
      <protection/>
    </xf>
    <xf numFmtId="0" fontId="46" fillId="0" borderId="10" xfId="54" applyFont="1" applyFill="1" applyBorder="1" applyAlignment="1">
      <alignment horizontal="right" vertical="center" wrapText="1"/>
      <protection/>
    </xf>
    <xf numFmtId="0" fontId="2" fillId="33" borderId="10" xfId="54" applyFont="1" applyFill="1" applyBorder="1" applyAlignment="1">
      <alignment horizontal="right" vertical="center"/>
      <protection/>
    </xf>
    <xf numFmtId="11" fontId="2" fillId="33" borderId="10" xfId="54" applyNumberFormat="1" applyFont="1" applyFill="1" applyBorder="1" applyAlignment="1">
      <alignment horizontal="right" vertical="center" wrapText="1"/>
      <protection/>
    </xf>
    <xf numFmtId="49" fontId="5" fillId="34" borderId="10" xfId="54" applyNumberFormat="1" applyFont="1" applyFill="1" applyBorder="1" applyAlignment="1" quotePrefix="1">
      <alignment horizontal="right" vertical="center"/>
      <protection/>
    </xf>
    <xf numFmtId="11" fontId="5" fillId="34" borderId="10" xfId="54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 horizontal="right" vertical="center"/>
    </xf>
    <xf numFmtId="0" fontId="4" fillId="33" borderId="10" xfId="54" applyFont="1" applyFill="1" applyBorder="1" applyAlignment="1">
      <alignment horizontal="right" vertical="center" wrapText="1"/>
      <protection/>
    </xf>
    <xf numFmtId="49" fontId="2" fillId="0" borderId="11" xfId="54" applyNumberFormat="1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49" fontId="2" fillId="33" borderId="12" xfId="54" applyNumberFormat="1" applyFont="1" applyFill="1" applyBorder="1" applyAlignment="1" quotePrefix="1">
      <alignment horizontal="right" vertical="center"/>
      <protection/>
    </xf>
    <xf numFmtId="0" fontId="50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5" fillId="0" borderId="10" xfId="54" applyFont="1" applyFill="1" applyBorder="1" applyAlignment="1">
      <alignment horizontal="left" vertical="center"/>
      <protection/>
    </xf>
    <xf numFmtId="0" fontId="2" fillId="33" borderId="1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33" borderId="1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52" fillId="0" borderId="15" xfId="0" applyFont="1" applyFill="1" applyBorder="1" applyAlignment="1">
      <alignment horizont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3" xfId="54" applyFont="1" applyFill="1" applyBorder="1" applyAlignment="1">
      <alignment horizontal="left" vertical="center"/>
      <protection/>
    </xf>
    <xf numFmtId="0" fontId="5" fillId="0" borderId="14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right" vertical="center"/>
      <protection/>
    </xf>
    <xf numFmtId="0" fontId="2" fillId="33" borderId="10" xfId="54" applyFont="1" applyFill="1" applyBorder="1" applyAlignment="1">
      <alignment horizontal="right" vertical="center"/>
      <protection/>
    </xf>
    <xf numFmtId="0" fontId="2" fillId="33" borderId="13" xfId="54" applyFont="1" applyFill="1" applyBorder="1" applyAlignment="1">
      <alignment horizontal="right" vertical="center"/>
      <protection/>
    </xf>
    <xf numFmtId="0" fontId="53" fillId="0" borderId="15" xfId="0" applyFont="1" applyFill="1" applyBorder="1" applyAlignment="1">
      <alignment horizontal="right" vertical="center"/>
    </xf>
    <xf numFmtId="49" fontId="2" fillId="33" borderId="10" xfId="54" applyNumberFormat="1" applyFont="1" applyFill="1" applyBorder="1" applyAlignment="1">
      <alignment horizontal="right" vertical="center" wrapText="1"/>
      <protection/>
    </xf>
    <xf numFmtId="0" fontId="2" fillId="33" borderId="10" xfId="54" applyFont="1" applyFill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right" vertical="center" wrapText="1"/>
      <protection/>
    </xf>
    <xf numFmtId="0" fontId="5" fillId="0" borderId="12" xfId="54" applyFont="1" applyFill="1" applyBorder="1" applyAlignment="1">
      <alignment horizontal="right" vertical="center"/>
      <protection/>
    </xf>
    <xf numFmtId="0" fontId="5" fillId="0" borderId="13" xfId="54" applyFont="1" applyFill="1" applyBorder="1" applyAlignment="1">
      <alignment horizontal="right" vertical="center"/>
      <protection/>
    </xf>
    <xf numFmtId="0" fontId="5" fillId="0" borderId="14" xfId="54" applyFont="1" applyFill="1" applyBorder="1" applyAlignment="1">
      <alignment horizontal="right" vertical="center"/>
      <protection/>
    </xf>
    <xf numFmtId="0" fontId="5" fillId="34" borderId="12" xfId="54" applyFont="1" applyFill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33" borderId="12" xfId="54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53" fillId="0" borderId="16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/>
    </xf>
    <xf numFmtId="0" fontId="5" fillId="0" borderId="12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3" fontId="5" fillId="0" borderId="14" xfId="54" applyNumberFormat="1" applyFont="1" applyFill="1" applyBorder="1" applyAlignment="1">
      <alignment horizontal="right" vertical="center"/>
      <protection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Border="1" applyAlignment="1">
      <alignment horizontal="left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3" fontId="6" fillId="0" borderId="14" xfId="55" applyNumberFormat="1" applyFont="1" applyFill="1" applyBorder="1" applyAlignment="1">
      <alignment horizontal="right" vertical="center" wrapText="1"/>
      <protection/>
    </xf>
    <xf numFmtId="0" fontId="5" fillId="0" borderId="18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18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20" xfId="54" applyFont="1" applyFill="1" applyBorder="1" applyAlignment="1">
      <alignment horizontal="left" vertical="center"/>
      <protection/>
    </xf>
    <xf numFmtId="0" fontId="2" fillId="0" borderId="14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17" xfId="54" applyFont="1" applyFill="1" applyBorder="1" applyAlignment="1">
      <alignment horizontal="left" vertical="center"/>
      <protection/>
    </xf>
    <xf numFmtId="0" fontId="2" fillId="0" borderId="19" xfId="54" applyFont="1" applyFill="1" applyBorder="1" applyAlignment="1">
      <alignment horizontal="left" vertical="center"/>
      <protection/>
    </xf>
    <xf numFmtId="0" fontId="2" fillId="0" borderId="13" xfId="54" applyFont="1" applyFill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12dmelléklet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EG&#201;DT&#193;BL&#193;K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K&#214;LTS&#201;GVET&#201;S%202022%200120e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GICA.&#193;GICA-DELL\Downloads\SEG&#201;DT&#193;BL&#193;K%202022_megjegyz&#233;sekkel%200120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14;LTS&#201;GVET&#201;S%20TERVEZET%202021\2021.%20&#233;v\Seg&#233;dt&#225;bl&#225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Önk."/>
      <sheetName val="Bev.Könyv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86">
          <cell r="F86">
            <v>12500000</v>
          </cell>
        </row>
        <row r="87">
          <cell r="F87">
            <v>1000000</v>
          </cell>
        </row>
        <row r="88">
          <cell r="F88">
            <v>3687509</v>
          </cell>
        </row>
        <row r="89">
          <cell r="F89">
            <v>1000000</v>
          </cell>
        </row>
        <row r="94">
          <cell r="F94">
            <v>0</v>
          </cell>
        </row>
        <row r="95">
          <cell r="F95">
            <v>45000000</v>
          </cell>
        </row>
        <row r="99">
          <cell r="F99">
            <v>600000</v>
          </cell>
        </row>
        <row r="100">
          <cell r="F100">
            <v>1400000</v>
          </cell>
        </row>
      </sheetData>
      <sheetData sheetId="3">
        <row r="216">
          <cell r="F216">
            <v>400000</v>
          </cell>
        </row>
      </sheetData>
      <sheetData sheetId="6">
        <row r="52">
          <cell r="D52">
            <v>6000000</v>
          </cell>
        </row>
      </sheetData>
      <sheetData sheetId="8">
        <row r="81">
          <cell r="I81">
            <v>864000</v>
          </cell>
        </row>
        <row r="82">
          <cell r="I82">
            <v>50000</v>
          </cell>
        </row>
        <row r="91">
          <cell r="I91">
            <v>200000</v>
          </cell>
        </row>
      </sheetData>
      <sheetData sheetId="10">
        <row r="44">
          <cell r="I44">
            <v>264000</v>
          </cell>
        </row>
        <row r="45">
          <cell r="I45">
            <v>10000</v>
          </cell>
        </row>
        <row r="46">
          <cell r="I46">
            <v>36000</v>
          </cell>
        </row>
        <row r="47">
          <cell r="I47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.össz.."/>
      <sheetName val="kiad.össz.."/>
      <sheetName val="önk.bev."/>
      <sheetName val="önk.kiad."/>
      <sheetName val="hivatal bev."/>
      <sheetName val="hivatal kiad."/>
      <sheetName val="óvoda bev."/>
      <sheetName val="óvoda kiad."/>
      <sheetName val="bölcsőde bev."/>
      <sheetName val="bölcőde kiad."/>
      <sheetName val="könyvtár bev."/>
      <sheetName val="könyvtár kiad."/>
      <sheetName val="beruházás"/>
      <sheetName val="tartalék"/>
      <sheetName val="maradvány"/>
      <sheetName val="Mérleg"/>
      <sheetName val="Létszám"/>
      <sheetName val="Tervezett"/>
      <sheetName val="Közvetett támogatások"/>
      <sheetName val="Több éves kihatás"/>
      <sheetName val="Felh."/>
      <sheetName val="Adósság"/>
      <sheetName val="EU"/>
    </sheetNames>
    <sheetDataSet>
      <sheetData sheetId="0">
        <row r="45">
          <cell r="L45">
            <v>145717471</v>
          </cell>
        </row>
      </sheetData>
      <sheetData sheetId="4">
        <row r="43">
          <cell r="G43">
            <v>144687211</v>
          </cell>
        </row>
      </sheetData>
      <sheetData sheetId="6">
        <row r="29">
          <cell r="G29">
            <v>37136566</v>
          </cell>
        </row>
        <row r="41">
          <cell r="G41">
            <v>4878202</v>
          </cell>
        </row>
        <row r="43">
          <cell r="G43">
            <v>219699297.64</v>
          </cell>
        </row>
      </sheetData>
      <sheetData sheetId="7">
        <row r="59">
          <cell r="G59">
            <v>261714065.64</v>
          </cell>
        </row>
      </sheetData>
      <sheetData sheetId="8">
        <row r="27">
          <cell r="G27">
            <v>1189728</v>
          </cell>
        </row>
        <row r="43">
          <cell r="G43">
            <v>16720555.290000003</v>
          </cell>
        </row>
      </sheetData>
      <sheetData sheetId="9">
        <row r="17">
          <cell r="G17">
            <v>10747828</v>
          </cell>
        </row>
        <row r="49">
          <cell r="G49">
            <v>31961337.85</v>
          </cell>
        </row>
      </sheetData>
      <sheetData sheetId="10">
        <row r="43">
          <cell r="G43">
            <v>17408726.060000002</v>
          </cell>
        </row>
      </sheetData>
      <sheetData sheetId="11">
        <row r="49">
          <cell r="G49">
            <v>18548435.360000003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Ovi"/>
      <sheetName val="Bölcsi"/>
      <sheetName val="Könyvtár"/>
    </sheetNames>
    <sheetDataSet>
      <sheetData sheetId="0">
        <row r="13">
          <cell r="E13">
            <v>100000</v>
          </cell>
        </row>
        <row r="50">
          <cell r="E50">
            <v>36940598</v>
          </cell>
        </row>
        <row r="58">
          <cell r="E58">
            <v>35019600</v>
          </cell>
        </row>
        <row r="78">
          <cell r="E78">
            <v>7175280</v>
          </cell>
        </row>
      </sheetData>
      <sheetData sheetId="2">
        <row r="39">
          <cell r="E39">
            <v>14656003.937007874</v>
          </cell>
        </row>
        <row r="40">
          <cell r="E40">
            <v>14585386.61417323</v>
          </cell>
        </row>
        <row r="41">
          <cell r="E41">
            <v>7895175.448818899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Könyv."/>
      <sheetName val="Önk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96">
          <cell r="F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J46"/>
    </sheetView>
  </sheetViews>
  <sheetFormatPr defaultColWidth="9.140625" defaultRowHeight="15"/>
  <cols>
    <col min="2" max="2" width="16.00390625" style="0" bestFit="1" customWidth="1"/>
    <col min="6" max="6" width="9.421875" style="0" customWidth="1"/>
    <col min="7" max="7" width="15.8515625" style="0" bestFit="1" customWidth="1"/>
    <col min="8" max="8" width="10.8515625" style="0" bestFit="1" customWidth="1"/>
    <col min="9" max="9" width="10.140625" style="0" bestFit="1" customWidth="1"/>
  </cols>
  <sheetData>
    <row r="1" spans="1:10" ht="15">
      <c r="A1" s="119" t="s">
        <v>154</v>
      </c>
      <c r="B1" s="119"/>
      <c r="C1" s="119"/>
      <c r="D1" s="119"/>
      <c r="E1" s="119"/>
      <c r="F1" s="119"/>
      <c r="G1" s="119"/>
      <c r="H1" s="43"/>
      <c r="I1" s="43"/>
      <c r="J1" s="43"/>
    </row>
    <row r="2" spans="1:10" ht="15">
      <c r="A2" s="1"/>
      <c r="B2" s="1"/>
      <c r="C2" s="1"/>
      <c r="D2" s="1"/>
      <c r="E2" s="1"/>
      <c r="F2" s="1"/>
      <c r="G2" s="1"/>
      <c r="H2" s="43"/>
      <c r="I2" s="43"/>
      <c r="J2" s="43"/>
    </row>
    <row r="3" spans="1:10" ht="15.75">
      <c r="A3" s="120" t="s">
        <v>1</v>
      </c>
      <c r="B3" s="120"/>
      <c r="C3" s="120"/>
      <c r="D3" s="120"/>
      <c r="E3" s="120"/>
      <c r="F3" s="120"/>
      <c r="G3" s="120"/>
      <c r="H3" s="44"/>
      <c r="I3" s="44"/>
      <c r="J3" s="44"/>
    </row>
    <row r="4" spans="1:10" ht="15.75">
      <c r="A4" s="121" t="s">
        <v>155</v>
      </c>
      <c r="B4" s="122"/>
      <c r="C4" s="122"/>
      <c r="D4" s="122"/>
      <c r="E4" s="122"/>
      <c r="F4" s="122"/>
      <c r="G4" s="122"/>
      <c r="H4" s="44"/>
      <c r="I4" s="44"/>
      <c r="J4" s="44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38.2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76.5">
      <c r="A7" s="5" t="s">
        <v>11</v>
      </c>
      <c r="B7" s="6" t="s">
        <v>156</v>
      </c>
      <c r="C7" s="106" t="s">
        <v>157</v>
      </c>
      <c r="D7" s="106"/>
      <c r="E7" s="106"/>
      <c r="F7" s="106"/>
      <c r="G7" s="8">
        <f>203690341+1036753+2720125</f>
        <v>207447219</v>
      </c>
      <c r="H7" s="8">
        <f>G7</f>
        <v>207447219</v>
      </c>
      <c r="I7" s="45"/>
      <c r="J7" s="45"/>
    </row>
    <row r="8" spans="1:10" ht="76.5">
      <c r="A8" s="5" t="s">
        <v>14</v>
      </c>
      <c r="B8" s="10" t="s">
        <v>158</v>
      </c>
      <c r="C8" s="106" t="s">
        <v>159</v>
      </c>
      <c r="D8" s="106"/>
      <c r="E8" s="106"/>
      <c r="F8" s="106"/>
      <c r="G8" s="8">
        <f>126082200+3300000+5940720+214140+5390000</f>
        <v>140927060</v>
      </c>
      <c r="H8" s="8">
        <f aca="true" t="shared" si="0" ref="H8:H13">G8</f>
        <v>140927060</v>
      </c>
      <c r="I8" s="45"/>
      <c r="J8" s="45"/>
    </row>
    <row r="9" spans="1:10" ht="89.25">
      <c r="A9" s="5" t="s">
        <v>17</v>
      </c>
      <c r="B9" s="10" t="s">
        <v>160</v>
      </c>
      <c r="C9" s="106" t="s">
        <v>161</v>
      </c>
      <c r="D9" s="106"/>
      <c r="E9" s="106"/>
      <c r="F9" s="106"/>
      <c r="G9" s="8">
        <f>30945273+6002416+5812900+1178100+312000+492000</f>
        <v>44742689</v>
      </c>
      <c r="H9" s="8">
        <f t="shared" si="0"/>
        <v>44742689</v>
      </c>
      <c r="I9" s="45"/>
      <c r="J9" s="45"/>
    </row>
    <row r="10" spans="1:10" ht="76.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>
        <f>42947075+786600+1983744</f>
        <v>45717419</v>
      </c>
      <c r="H10" s="8">
        <f t="shared" si="0"/>
        <v>45717419</v>
      </c>
      <c r="I10" s="45"/>
      <c r="J10" s="45"/>
    </row>
    <row r="11" spans="1:10" ht="102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8">
        <f t="shared" si="0"/>
        <v>0</v>
      </c>
      <c r="I11" s="45"/>
      <c r="J11" s="45"/>
    </row>
    <row r="12" spans="1:10" ht="63.75">
      <c r="A12" s="5" t="s">
        <v>26</v>
      </c>
      <c r="B12" s="10" t="s">
        <v>166</v>
      </c>
      <c r="C12" s="106" t="s">
        <v>167</v>
      </c>
      <c r="D12" s="106"/>
      <c r="E12" s="106"/>
      <c r="F12" s="106"/>
      <c r="G12" s="8">
        <f>11157946</f>
        <v>11157946</v>
      </c>
      <c r="H12" s="8">
        <f t="shared" si="0"/>
        <v>11157946</v>
      </c>
      <c r="I12" s="45"/>
      <c r="J12" s="45"/>
    </row>
    <row r="13" spans="1:10" ht="38.25">
      <c r="A13" s="5" t="s">
        <v>29</v>
      </c>
      <c r="B13" s="10" t="s">
        <v>168</v>
      </c>
      <c r="C13" s="106" t="s">
        <v>169</v>
      </c>
      <c r="D13" s="106"/>
      <c r="E13" s="106"/>
      <c r="F13" s="106"/>
      <c r="G13" s="8">
        <f>'[1]Bev.Önk.'!$F$94</f>
        <v>0</v>
      </c>
      <c r="H13" s="8">
        <f t="shared" si="0"/>
        <v>0</v>
      </c>
      <c r="I13" s="45"/>
      <c r="J13" s="45"/>
    </row>
    <row r="14" spans="1:10" ht="76.5">
      <c r="A14" s="5" t="s">
        <v>32</v>
      </c>
      <c r="B14" s="10" t="s">
        <v>170</v>
      </c>
      <c r="C14" s="106" t="s">
        <v>171</v>
      </c>
      <c r="D14" s="106"/>
      <c r="E14" s="106"/>
      <c r="F14" s="106"/>
      <c r="G14" s="8">
        <f>'[3]Bev.Önk.'!$E$13+'[3]Bev.Önk.'!$E$50+'[3]Bev.Önk.'!$E$58+'[3]Bev.Önk.'!$E$78</f>
        <v>79235478</v>
      </c>
      <c r="H14" s="8">
        <f>G14</f>
        <v>79235478</v>
      </c>
      <c r="I14" s="45"/>
      <c r="J14" s="45"/>
    </row>
    <row r="15" spans="1:10" ht="63.75">
      <c r="A15" s="13" t="s">
        <v>35</v>
      </c>
      <c r="B15" s="14" t="s">
        <v>172</v>
      </c>
      <c r="C15" s="110" t="s">
        <v>173</v>
      </c>
      <c r="D15" s="110"/>
      <c r="E15" s="110"/>
      <c r="F15" s="110"/>
      <c r="G15" s="18">
        <f>SUM(G7:G14)</f>
        <v>529227811</v>
      </c>
      <c r="H15" s="18">
        <f>SUM(H7:H14)</f>
        <v>529227811</v>
      </c>
      <c r="I15" s="18">
        <f>SUM(I7:I14)</f>
        <v>0</v>
      </c>
      <c r="J15" s="18">
        <f>SUM(J7:J14)</f>
        <v>0</v>
      </c>
    </row>
    <row r="16" spans="1:10" ht="89.25">
      <c r="A16" s="5" t="s">
        <v>38</v>
      </c>
      <c r="B16" s="10" t="s">
        <v>174</v>
      </c>
      <c r="C16" s="106" t="s">
        <v>175</v>
      </c>
      <c r="D16" s="106"/>
      <c r="E16" s="106"/>
      <c r="F16" s="106"/>
      <c r="G16" s="8">
        <v>11328185</v>
      </c>
      <c r="H16" s="8">
        <v>11328185</v>
      </c>
      <c r="I16" s="46"/>
      <c r="J16" s="46"/>
    </row>
    <row r="17" spans="1:10" ht="76.5">
      <c r="A17" s="13" t="s">
        <v>41</v>
      </c>
      <c r="B17" s="14" t="s">
        <v>176</v>
      </c>
      <c r="C17" s="110" t="s">
        <v>177</v>
      </c>
      <c r="D17" s="110"/>
      <c r="E17" s="110"/>
      <c r="F17" s="110"/>
      <c r="G17" s="18">
        <f>G16</f>
        <v>11328185</v>
      </c>
      <c r="H17" s="18">
        <f>H16</f>
        <v>11328185</v>
      </c>
      <c r="I17" s="18">
        <f>I16</f>
        <v>0</v>
      </c>
      <c r="J17" s="18">
        <f>J16</f>
        <v>0</v>
      </c>
    </row>
    <row r="18" spans="1:10" ht="25.5">
      <c r="A18" s="5" t="s">
        <v>44</v>
      </c>
      <c r="B18" s="10" t="s">
        <v>178</v>
      </c>
      <c r="C18" s="106" t="s">
        <v>179</v>
      </c>
      <c r="D18" s="106"/>
      <c r="E18" s="106"/>
      <c r="F18" s="106"/>
      <c r="G18" s="8">
        <f>'[1]Bev.Önk.'!$F$86</f>
        <v>12500000</v>
      </c>
      <c r="H18" s="47">
        <f>G18</f>
        <v>12500000</v>
      </c>
      <c r="I18" s="45"/>
      <c r="J18" s="45"/>
    </row>
    <row r="19" spans="1:10" ht="25.5">
      <c r="A19" s="5" t="s">
        <v>47</v>
      </c>
      <c r="B19" s="10" t="s">
        <v>180</v>
      </c>
      <c r="C19" s="106" t="s">
        <v>181</v>
      </c>
      <c r="D19" s="106"/>
      <c r="E19" s="106"/>
      <c r="F19" s="106"/>
      <c r="G19" s="8">
        <f>'[1]Bev.Önk.'!$F$95</f>
        <v>45000000</v>
      </c>
      <c r="H19" s="47">
        <f>G19</f>
        <v>45000000</v>
      </c>
      <c r="I19" s="45"/>
      <c r="J19" s="45"/>
    </row>
    <row r="20" spans="1:10" ht="15">
      <c r="A20" s="5" t="s">
        <v>50</v>
      </c>
      <c r="B20" s="10" t="s">
        <v>182</v>
      </c>
      <c r="C20" s="106" t="s">
        <v>183</v>
      </c>
      <c r="D20" s="106"/>
      <c r="E20" s="106"/>
      <c r="F20" s="106"/>
      <c r="G20" s="8">
        <f>'[4]Bev.Önk.'!$F$96</f>
        <v>0</v>
      </c>
      <c r="H20" s="47">
        <f>G20</f>
        <v>0</v>
      </c>
      <c r="I20" s="45"/>
      <c r="J20" s="45"/>
    </row>
    <row r="21" spans="1:10" ht="38.25">
      <c r="A21" s="5" t="s">
        <v>53</v>
      </c>
      <c r="B21" s="10" t="s">
        <v>184</v>
      </c>
      <c r="C21" s="106" t="s">
        <v>185</v>
      </c>
      <c r="D21" s="106"/>
      <c r="E21" s="106"/>
      <c r="F21" s="106"/>
      <c r="G21" s="8">
        <f>'[1]Bev.Önk.'!$F$87</f>
        <v>1000000</v>
      </c>
      <c r="H21" s="47">
        <f>G21</f>
        <v>1000000</v>
      </c>
      <c r="I21" s="45"/>
      <c r="J21" s="45"/>
    </row>
    <row r="22" spans="1:10" ht="38.25">
      <c r="A22" s="13" t="s">
        <v>56</v>
      </c>
      <c r="B22" s="14" t="s">
        <v>186</v>
      </c>
      <c r="C22" s="110" t="s">
        <v>187</v>
      </c>
      <c r="D22" s="110"/>
      <c r="E22" s="110"/>
      <c r="F22" s="110"/>
      <c r="G22" s="18">
        <f>SUM(G18:G21)</f>
        <v>58500000</v>
      </c>
      <c r="H22" s="18">
        <f>SUM(H18:H21)</f>
        <v>58500000</v>
      </c>
      <c r="I22" s="18">
        <f>SUM(I18:I21)</f>
        <v>0</v>
      </c>
      <c r="J22" s="18">
        <f>SUM(J18:J21)</f>
        <v>0</v>
      </c>
    </row>
    <row r="23" spans="1:10" ht="25.5">
      <c r="A23" s="5" t="s">
        <v>59</v>
      </c>
      <c r="B23" s="19" t="s">
        <v>188</v>
      </c>
      <c r="C23" s="106" t="s">
        <v>189</v>
      </c>
      <c r="D23" s="106"/>
      <c r="E23" s="106"/>
      <c r="F23" s="106"/>
      <c r="G23" s="8">
        <v>800000</v>
      </c>
      <c r="H23" s="45"/>
      <c r="I23" s="47">
        <f aca="true" t="shared" si="1" ref="I23:I28">G23</f>
        <v>800000</v>
      </c>
      <c r="J23" s="45"/>
    </row>
    <row r="24" spans="1:10" ht="25.5">
      <c r="A24" s="5" t="s">
        <v>62</v>
      </c>
      <c r="B24" s="19" t="s">
        <v>190</v>
      </c>
      <c r="C24" s="106" t="s">
        <v>191</v>
      </c>
      <c r="D24" s="106"/>
      <c r="E24" s="106"/>
      <c r="F24" s="106"/>
      <c r="G24" s="8">
        <f>'[1]Bev.Önk.'!$F$99</f>
        <v>600000</v>
      </c>
      <c r="H24" s="45"/>
      <c r="I24" s="47">
        <f t="shared" si="1"/>
        <v>600000</v>
      </c>
      <c r="J24" s="45"/>
    </row>
    <row r="25" spans="1:10" ht="38.25">
      <c r="A25" s="5" t="s">
        <v>65</v>
      </c>
      <c r="B25" s="19" t="s">
        <v>192</v>
      </c>
      <c r="C25" s="106" t="s">
        <v>193</v>
      </c>
      <c r="D25" s="106"/>
      <c r="E25" s="106"/>
      <c r="F25" s="106"/>
      <c r="G25" s="8">
        <f>'[1]Bev.Önk.'!$F$100</f>
        <v>1400000</v>
      </c>
      <c r="H25" s="45"/>
      <c r="I25" s="47">
        <f t="shared" si="1"/>
        <v>1400000</v>
      </c>
      <c r="J25" s="45"/>
    </row>
    <row r="26" spans="1:10" ht="25.5">
      <c r="A26" s="5" t="s">
        <v>68</v>
      </c>
      <c r="B26" s="19" t="s">
        <v>194</v>
      </c>
      <c r="C26" s="106" t="s">
        <v>195</v>
      </c>
      <c r="D26" s="106"/>
      <c r="E26" s="106"/>
      <c r="F26" s="106"/>
      <c r="G26" s="8">
        <v>12300000</v>
      </c>
      <c r="H26" s="45"/>
      <c r="I26" s="47">
        <f t="shared" si="1"/>
        <v>12300000</v>
      </c>
      <c r="J26" s="45"/>
    </row>
    <row r="27" spans="1:10" ht="15">
      <c r="A27" s="5" t="s">
        <v>71</v>
      </c>
      <c r="B27" s="19" t="s">
        <v>196</v>
      </c>
      <c r="C27" s="106" t="s">
        <v>197</v>
      </c>
      <c r="D27" s="106"/>
      <c r="E27" s="106"/>
      <c r="F27" s="106"/>
      <c r="G27" s="8">
        <v>1100000</v>
      </c>
      <c r="H27" s="45"/>
      <c r="I27" s="47">
        <f t="shared" si="1"/>
        <v>1100000</v>
      </c>
      <c r="J27" s="45"/>
    </row>
    <row r="28" spans="1:10" ht="38.25">
      <c r="A28" s="5" t="s">
        <v>74</v>
      </c>
      <c r="B28" s="19" t="s">
        <v>198</v>
      </c>
      <c r="C28" s="106" t="s">
        <v>199</v>
      </c>
      <c r="D28" s="106"/>
      <c r="E28" s="106"/>
      <c r="F28" s="106"/>
      <c r="G28" s="8">
        <f>(G23+G24+G25+G26+G27)*0.27</f>
        <v>4374000</v>
      </c>
      <c r="H28" s="45"/>
      <c r="I28" s="47">
        <f t="shared" si="1"/>
        <v>4374000</v>
      </c>
      <c r="J28" s="45"/>
    </row>
    <row r="29" spans="1:10" ht="38.25">
      <c r="A29" s="13" t="s">
        <v>77</v>
      </c>
      <c r="B29" s="48" t="s">
        <v>200</v>
      </c>
      <c r="C29" s="110" t="s">
        <v>201</v>
      </c>
      <c r="D29" s="110"/>
      <c r="E29" s="110"/>
      <c r="F29" s="110"/>
      <c r="G29" s="18">
        <f>SUM(G23:G28)</f>
        <v>20574000</v>
      </c>
      <c r="H29" s="18">
        <f>SUM(H23:H28)</f>
        <v>0</v>
      </c>
      <c r="I29" s="18">
        <f>SUM(I23:I28)</f>
        <v>20574000</v>
      </c>
      <c r="J29" s="18">
        <f>SUM(J23:J28)</f>
        <v>0</v>
      </c>
    </row>
    <row r="30" spans="1:10" ht="25.5">
      <c r="A30" s="49" t="s">
        <v>80</v>
      </c>
      <c r="B30" s="21" t="s">
        <v>202</v>
      </c>
      <c r="C30" s="7" t="s">
        <v>203</v>
      </c>
      <c r="D30" s="22"/>
      <c r="E30" s="22"/>
      <c r="F30" s="22"/>
      <c r="G30" s="11">
        <f>270000+3030000</f>
        <v>3300000</v>
      </c>
      <c r="H30" s="45"/>
      <c r="I30" s="47">
        <f>G30</f>
        <v>3300000</v>
      </c>
      <c r="J30" s="45"/>
    </row>
    <row r="31" spans="1:10" ht="25.5">
      <c r="A31" s="13" t="s">
        <v>83</v>
      </c>
      <c r="B31" s="48" t="s">
        <v>204</v>
      </c>
      <c r="C31" s="23" t="s">
        <v>205</v>
      </c>
      <c r="D31" s="23"/>
      <c r="E31" s="23"/>
      <c r="F31" s="23"/>
      <c r="G31" s="18">
        <f>SUM(G30)</f>
        <v>3300000</v>
      </c>
      <c r="H31" s="18">
        <f>SUM(H30)</f>
        <v>0</v>
      </c>
      <c r="I31" s="18">
        <f>SUM(I30)</f>
        <v>3300000</v>
      </c>
      <c r="J31" s="18">
        <f>SUM(J30)</f>
        <v>0</v>
      </c>
    </row>
    <row r="32" spans="1:10" ht="89.25">
      <c r="A32" s="5" t="s">
        <v>86</v>
      </c>
      <c r="B32" s="10" t="s">
        <v>206</v>
      </c>
      <c r="C32" s="106" t="s">
        <v>207</v>
      </c>
      <c r="D32" s="106"/>
      <c r="E32" s="106"/>
      <c r="F32" s="106"/>
      <c r="G32" s="8">
        <f>'[1]Bev.Önk.'!$F$88</f>
        <v>3687509</v>
      </c>
      <c r="H32" s="8">
        <f>G32</f>
        <v>3687509</v>
      </c>
      <c r="I32" s="8"/>
      <c r="J32" s="8"/>
    </row>
    <row r="33" spans="1:10" ht="51">
      <c r="A33" s="13" t="s">
        <v>89</v>
      </c>
      <c r="B33" s="14" t="s">
        <v>208</v>
      </c>
      <c r="C33" s="110" t="s">
        <v>209</v>
      </c>
      <c r="D33" s="110"/>
      <c r="E33" s="110"/>
      <c r="F33" s="110"/>
      <c r="G33" s="18">
        <f>SUM(G32)</f>
        <v>3687509</v>
      </c>
      <c r="H33" s="18">
        <f>SUM(H32)</f>
        <v>3687509</v>
      </c>
      <c r="I33" s="18">
        <f>SUM(I32)</f>
        <v>0</v>
      </c>
      <c r="J33" s="18">
        <f>SUM(J32)</f>
        <v>0</v>
      </c>
    </row>
    <row r="34" spans="1:10" ht="51">
      <c r="A34" s="5" t="s">
        <v>92</v>
      </c>
      <c r="B34" s="10" t="s">
        <v>210</v>
      </c>
      <c r="C34" s="7" t="s">
        <v>211</v>
      </c>
      <c r="D34" s="7"/>
      <c r="E34" s="7"/>
      <c r="F34" s="7"/>
      <c r="G34" s="11">
        <f>'[1]Bev.Önk.'!$F$89</f>
        <v>1000000</v>
      </c>
      <c r="H34" s="11">
        <f>'[1]Bev.Önk.'!$F$89</f>
        <v>1000000</v>
      </c>
      <c r="I34" s="45"/>
      <c r="J34" s="45"/>
    </row>
    <row r="35" spans="1:10" ht="38.25">
      <c r="A35" s="13" t="s">
        <v>95</v>
      </c>
      <c r="B35" s="14" t="s">
        <v>212</v>
      </c>
      <c r="C35" s="110" t="s">
        <v>213</v>
      </c>
      <c r="D35" s="110"/>
      <c r="E35" s="110"/>
      <c r="F35" s="110"/>
      <c r="G35" s="18">
        <f>SUM(G34)</f>
        <v>1000000</v>
      </c>
      <c r="H35" s="18">
        <f>SUM(H34)</f>
        <v>1000000</v>
      </c>
      <c r="I35" s="18">
        <f>SUM(I34)</f>
        <v>0</v>
      </c>
      <c r="J35" s="18">
        <f>SUM(J34)</f>
        <v>0</v>
      </c>
    </row>
    <row r="36" spans="1:10" ht="51">
      <c r="A36" s="13" t="s">
        <v>98</v>
      </c>
      <c r="B36" s="30" t="s">
        <v>214</v>
      </c>
      <c r="C36" s="110" t="s">
        <v>215</v>
      </c>
      <c r="D36" s="110"/>
      <c r="E36" s="110"/>
      <c r="F36" s="110"/>
      <c r="G36" s="18">
        <f>G15+G17+G22+G29+G31+G33+G35</f>
        <v>627617505</v>
      </c>
      <c r="H36" s="18">
        <f>H15+H17+H22+H29+H31+H33+H35</f>
        <v>603743505</v>
      </c>
      <c r="I36" s="18">
        <f>I15+I17+I22+I29+I31+I33+I35</f>
        <v>23874000</v>
      </c>
      <c r="J36" s="18">
        <f>J15+J17+J22+J29+J31+J33+J35</f>
        <v>0</v>
      </c>
    </row>
    <row r="37" spans="1:10" ht="15">
      <c r="A37" s="31"/>
      <c r="B37" s="43"/>
      <c r="C37" s="43"/>
      <c r="D37" s="43"/>
      <c r="E37" s="43"/>
      <c r="F37" s="43"/>
      <c r="G37" s="50"/>
      <c r="H37" s="43"/>
      <c r="I37" s="43"/>
      <c r="J37" s="43"/>
    </row>
    <row r="38" spans="1:10" ht="15.75">
      <c r="A38" s="111" t="s">
        <v>216</v>
      </c>
      <c r="B38" s="111"/>
      <c r="C38" s="111"/>
      <c r="D38" s="111"/>
      <c r="E38" s="111"/>
      <c r="F38" s="111"/>
      <c r="G38" s="111"/>
      <c r="H38" s="51"/>
      <c r="I38" s="51"/>
      <c r="J38" s="51"/>
    </row>
    <row r="39" spans="1:10" ht="15">
      <c r="A39" s="112" t="s">
        <v>3</v>
      </c>
      <c r="B39" s="113" t="s">
        <v>4</v>
      </c>
      <c r="C39" s="114" t="s">
        <v>5</v>
      </c>
      <c r="D39" s="114"/>
      <c r="E39" s="114"/>
      <c r="F39" s="114"/>
      <c r="G39" s="115" t="s">
        <v>144</v>
      </c>
      <c r="H39" s="44"/>
      <c r="I39" s="44"/>
      <c r="J39" s="44"/>
    </row>
    <row r="40" spans="1:10" ht="15">
      <c r="A40" s="112"/>
      <c r="B40" s="113"/>
      <c r="C40" s="114"/>
      <c r="D40" s="114"/>
      <c r="E40" s="114"/>
      <c r="F40" s="114"/>
      <c r="G40" s="115"/>
      <c r="H40" s="43"/>
      <c r="I40" s="43"/>
      <c r="J40" s="43"/>
    </row>
    <row r="41" spans="1:10" ht="51">
      <c r="A41" s="5" t="s">
        <v>101</v>
      </c>
      <c r="B41" s="19" t="s">
        <v>217</v>
      </c>
      <c r="C41" s="106" t="s">
        <v>218</v>
      </c>
      <c r="D41" s="106"/>
      <c r="E41" s="106"/>
      <c r="F41" s="106"/>
      <c r="G41" s="8">
        <f>214844947+465010</f>
        <v>215309957</v>
      </c>
      <c r="H41" s="52"/>
      <c r="I41" s="52"/>
      <c r="J41" s="52"/>
    </row>
    <row r="42" spans="1:10" ht="25.5">
      <c r="A42" s="5" t="s">
        <v>104</v>
      </c>
      <c r="B42" s="19" t="s">
        <v>219</v>
      </c>
      <c r="C42" s="106" t="s">
        <v>220</v>
      </c>
      <c r="D42" s="106"/>
      <c r="E42" s="106"/>
      <c r="F42" s="106"/>
      <c r="G42" s="8"/>
      <c r="H42" s="52"/>
      <c r="I42" s="52"/>
      <c r="J42" s="52"/>
    </row>
    <row r="43" spans="1:10" ht="25.5">
      <c r="A43" s="5" t="s">
        <v>107</v>
      </c>
      <c r="B43" s="19" t="s">
        <v>221</v>
      </c>
      <c r="C43" s="53" t="s">
        <v>222</v>
      </c>
      <c r="D43" s="54"/>
      <c r="E43" s="54"/>
      <c r="F43" s="55"/>
      <c r="G43" s="8"/>
      <c r="H43" s="52"/>
      <c r="I43" s="52"/>
      <c r="J43" s="52"/>
    </row>
    <row r="44" spans="1:10" ht="25.5">
      <c r="A44" s="13" t="s">
        <v>110</v>
      </c>
      <c r="B44" s="30" t="s">
        <v>223</v>
      </c>
      <c r="C44" s="107" t="s">
        <v>224</v>
      </c>
      <c r="D44" s="108"/>
      <c r="E44" s="108"/>
      <c r="F44" s="109"/>
      <c r="G44" s="18">
        <f>SUM(G41:G43)</f>
        <v>215309957</v>
      </c>
      <c r="H44" s="52"/>
      <c r="I44" s="52"/>
      <c r="J44" s="52"/>
    </row>
    <row r="45" spans="1:10" ht="15">
      <c r="A45" s="58"/>
      <c r="B45" s="43"/>
      <c r="C45" s="43"/>
      <c r="D45" s="43"/>
      <c r="E45" s="43"/>
      <c r="F45" s="43"/>
      <c r="G45" s="50"/>
      <c r="H45" s="43"/>
      <c r="I45" s="43"/>
      <c r="J45" s="43"/>
    </row>
    <row r="46" spans="1:10" ht="25.5">
      <c r="A46" s="39"/>
      <c r="B46" s="40" t="s">
        <v>225</v>
      </c>
      <c r="C46" s="108"/>
      <c r="D46" s="108"/>
      <c r="E46" s="108"/>
      <c r="F46" s="108"/>
      <c r="G46" s="42">
        <f>G36+G44</f>
        <v>842927462</v>
      </c>
      <c r="H46" s="43"/>
      <c r="I46" s="43"/>
      <c r="J46" s="43"/>
    </row>
  </sheetData>
  <sheetProtection/>
  <mergeCells count="42">
    <mergeCell ref="A1:G1"/>
    <mergeCell ref="A3:G3"/>
    <mergeCell ref="A4:G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G39:G40"/>
    <mergeCell ref="C26:F26"/>
    <mergeCell ref="C27:F27"/>
    <mergeCell ref="C28:F28"/>
    <mergeCell ref="C29:F29"/>
    <mergeCell ref="C32:F32"/>
    <mergeCell ref="C33:F33"/>
    <mergeCell ref="C41:F41"/>
    <mergeCell ref="C42:F42"/>
    <mergeCell ref="C44:F44"/>
    <mergeCell ref="C46:F46"/>
    <mergeCell ref="C35:F35"/>
    <mergeCell ref="C36:F36"/>
    <mergeCell ref="A38:G38"/>
    <mergeCell ref="A39:A40"/>
    <mergeCell ref="B39:B40"/>
    <mergeCell ref="C39:F40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H16" sqref="H16"/>
    </sheetView>
  </sheetViews>
  <sheetFormatPr defaultColWidth="9.140625" defaultRowHeight="15"/>
  <cols>
    <col min="2" max="2" width="16.00390625" style="0" bestFit="1" customWidth="1"/>
    <col min="7" max="7" width="15.8515625" style="0" bestFit="1" customWidth="1"/>
    <col min="8" max="8" width="9.8515625" style="0" bestFit="1" customWidth="1"/>
    <col min="9" max="9" width="10.00390625" style="0" customWidth="1"/>
  </cols>
  <sheetData>
    <row r="1" spans="1:10" ht="15">
      <c r="A1" s="119" t="s">
        <v>242</v>
      </c>
      <c r="B1" s="119"/>
      <c r="C1" s="119"/>
      <c r="D1" s="119"/>
      <c r="E1" s="119"/>
      <c r="F1" s="119"/>
      <c r="G1" s="119"/>
      <c r="H1" s="2"/>
      <c r="I1" s="2"/>
      <c r="J1" s="2"/>
    </row>
    <row r="2" spans="1:10" ht="15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15">
      <c r="A3" s="124" t="s">
        <v>241</v>
      </c>
      <c r="B3" s="124"/>
      <c r="C3" s="124"/>
      <c r="D3" s="124"/>
      <c r="E3" s="124"/>
      <c r="F3" s="124"/>
      <c r="G3" s="124"/>
      <c r="H3" s="3"/>
      <c r="I3" s="3"/>
      <c r="J3" s="3"/>
    </row>
    <row r="4" spans="1:10" ht="15">
      <c r="A4" s="125" t="s">
        <v>2</v>
      </c>
      <c r="B4" s="126"/>
      <c r="C4" s="126"/>
      <c r="D4" s="126"/>
      <c r="E4" s="126"/>
      <c r="F4" s="126"/>
      <c r="G4" s="126"/>
      <c r="H4" s="3"/>
      <c r="I4" s="3"/>
      <c r="J4" s="3"/>
    </row>
    <row r="5" spans="1:10" ht="15">
      <c r="A5" s="112" t="s">
        <v>3</v>
      </c>
      <c r="B5" s="153" t="s">
        <v>4</v>
      </c>
      <c r="C5" s="114" t="s">
        <v>5</v>
      </c>
      <c r="D5" s="114"/>
      <c r="E5" s="114"/>
      <c r="F5" s="114"/>
      <c r="G5" s="118" t="s">
        <v>144</v>
      </c>
      <c r="H5" s="116" t="s">
        <v>7</v>
      </c>
      <c r="I5" s="117"/>
      <c r="J5" s="118"/>
    </row>
    <row r="6" spans="1:10" ht="38.25">
      <c r="A6" s="112"/>
      <c r="B6" s="153"/>
      <c r="C6" s="114"/>
      <c r="D6" s="114"/>
      <c r="E6" s="114"/>
      <c r="F6" s="114"/>
      <c r="G6" s="118"/>
      <c r="H6" s="4" t="s">
        <v>8</v>
      </c>
      <c r="I6" s="4" t="s">
        <v>9</v>
      </c>
      <c r="J6" s="4" t="s">
        <v>10</v>
      </c>
    </row>
    <row r="7" spans="1:10" ht="38.25">
      <c r="A7" s="5" t="s">
        <v>11</v>
      </c>
      <c r="B7" s="147" t="s">
        <v>243</v>
      </c>
      <c r="C7" s="127" t="s">
        <v>13</v>
      </c>
      <c r="D7" s="128"/>
      <c r="E7" s="128"/>
      <c r="F7" s="129"/>
      <c r="G7" s="149">
        <f>3797136+3085000+1793570</f>
        <v>8675706</v>
      </c>
      <c r="H7" s="9">
        <f>3797136+225000+2860000+143570+1650000</f>
        <v>8675706</v>
      </c>
      <c r="I7" s="9"/>
      <c r="J7" s="9"/>
    </row>
    <row r="8" spans="1:10" ht="25.5">
      <c r="A8" s="5" t="s">
        <v>14</v>
      </c>
      <c r="B8" s="147" t="s">
        <v>15</v>
      </c>
      <c r="C8" s="53" t="s">
        <v>16</v>
      </c>
      <c r="D8" s="54"/>
      <c r="E8" s="54"/>
      <c r="F8" s="55"/>
      <c r="G8" s="149">
        <v>282000</v>
      </c>
      <c r="H8" s="8">
        <v>0</v>
      </c>
      <c r="I8" s="8">
        <v>282000</v>
      </c>
      <c r="J8" s="8">
        <v>0</v>
      </c>
    </row>
    <row r="9" spans="1:10" ht="38.25">
      <c r="A9" s="5" t="s">
        <v>17</v>
      </c>
      <c r="B9" s="147" t="s">
        <v>234</v>
      </c>
      <c r="C9" s="155" t="s">
        <v>19</v>
      </c>
      <c r="D9" s="151"/>
      <c r="E9" s="151"/>
      <c r="F9" s="156"/>
      <c r="G9" s="149">
        <v>0</v>
      </c>
      <c r="H9" s="9">
        <v>0</v>
      </c>
      <c r="I9" s="9"/>
      <c r="J9" s="9"/>
    </row>
    <row r="10" spans="1:10" ht="15">
      <c r="A10" s="5" t="s">
        <v>20</v>
      </c>
      <c r="B10" s="147" t="s">
        <v>21</v>
      </c>
      <c r="C10" s="53" t="s">
        <v>22</v>
      </c>
      <c r="D10" s="54"/>
      <c r="E10" s="54"/>
      <c r="F10" s="55"/>
      <c r="G10" s="149">
        <f>316428*2</f>
        <v>632856</v>
      </c>
      <c r="H10" s="9">
        <v>632856</v>
      </c>
      <c r="I10" s="9"/>
      <c r="J10" s="9"/>
    </row>
    <row r="11" spans="1:10" ht="25.5">
      <c r="A11" s="5" t="s">
        <v>23</v>
      </c>
      <c r="B11" s="148" t="s">
        <v>24</v>
      </c>
      <c r="C11" s="157" t="s">
        <v>25</v>
      </c>
      <c r="D11" s="152"/>
      <c r="E11" s="152"/>
      <c r="F11" s="158"/>
      <c r="G11" s="149">
        <f>'[1]Könyvtár'!$I$44</f>
        <v>264000</v>
      </c>
      <c r="H11" s="9">
        <f>(16*12000)+72000</f>
        <v>264000</v>
      </c>
      <c r="I11" s="9"/>
      <c r="J11" s="9"/>
    </row>
    <row r="12" spans="1:10" ht="25.5">
      <c r="A12" s="5" t="s">
        <v>26</v>
      </c>
      <c r="B12" s="148" t="s">
        <v>27</v>
      </c>
      <c r="C12" s="53" t="s">
        <v>28</v>
      </c>
      <c r="D12" s="54"/>
      <c r="E12" s="54"/>
      <c r="F12" s="55"/>
      <c r="G12" s="149"/>
      <c r="H12" s="9"/>
      <c r="I12" s="9"/>
      <c r="J12" s="9"/>
    </row>
    <row r="13" spans="1:10" ht="25.5">
      <c r="A13" s="5" t="s">
        <v>29</v>
      </c>
      <c r="B13" s="148" t="s">
        <v>30</v>
      </c>
      <c r="C13" s="157" t="s">
        <v>31</v>
      </c>
      <c r="D13" s="152"/>
      <c r="E13" s="152"/>
      <c r="F13" s="158"/>
      <c r="G13" s="149">
        <f>'[1]Könyvtár'!$I$45</f>
        <v>10000</v>
      </c>
      <c r="H13" s="9"/>
      <c r="I13" s="9"/>
      <c r="J13" s="9"/>
    </row>
    <row r="14" spans="1:10" ht="25.5">
      <c r="A14" s="5" t="s">
        <v>32</v>
      </c>
      <c r="B14" s="148" t="s">
        <v>33</v>
      </c>
      <c r="C14" s="53" t="s">
        <v>34</v>
      </c>
      <c r="D14" s="54"/>
      <c r="E14" s="54"/>
      <c r="F14" s="55"/>
      <c r="G14" s="149"/>
      <c r="H14" s="9"/>
      <c r="I14" s="9"/>
      <c r="J14" s="9"/>
    </row>
    <row r="15" spans="1:10" ht="25.5">
      <c r="A15" s="5" t="s">
        <v>35</v>
      </c>
      <c r="B15" s="148" t="s">
        <v>36</v>
      </c>
      <c r="C15" s="155" t="s">
        <v>37</v>
      </c>
      <c r="D15" s="151"/>
      <c r="E15" s="151"/>
      <c r="F15" s="156"/>
      <c r="G15" s="149">
        <f>'[1]Könyvtár'!$I$46</f>
        <v>36000</v>
      </c>
      <c r="H15" s="9"/>
      <c r="I15" s="9"/>
      <c r="J15" s="9"/>
    </row>
    <row r="16" spans="1:10" ht="38.25">
      <c r="A16" s="5" t="s">
        <v>38</v>
      </c>
      <c r="B16" s="148" t="s">
        <v>39</v>
      </c>
      <c r="C16" s="127" t="s">
        <v>40</v>
      </c>
      <c r="D16" s="128"/>
      <c r="E16" s="128"/>
      <c r="F16" s="129"/>
      <c r="G16" s="149"/>
      <c r="H16" s="9"/>
      <c r="I16" s="9"/>
      <c r="J16" s="9"/>
    </row>
    <row r="17" spans="1:10" ht="76.5">
      <c r="A17" s="5" t="s">
        <v>41</v>
      </c>
      <c r="B17" s="148" t="s">
        <v>42</v>
      </c>
      <c r="C17" s="106" t="s">
        <v>43</v>
      </c>
      <c r="D17" s="106"/>
      <c r="E17" s="106"/>
      <c r="F17" s="106"/>
      <c r="G17" s="154"/>
      <c r="H17" s="12"/>
      <c r="I17" s="12"/>
      <c r="J17" s="12"/>
    </row>
    <row r="18" spans="1:10" ht="25.5">
      <c r="A18" s="5" t="s">
        <v>44</v>
      </c>
      <c r="B18" s="10" t="s">
        <v>45</v>
      </c>
      <c r="C18" s="106" t="s">
        <v>46</v>
      </c>
      <c r="D18" s="106"/>
      <c r="E18" s="106"/>
      <c r="F18" s="106"/>
      <c r="G18" s="8">
        <f>'[1]Könyvtár'!$I$47</f>
        <v>10000</v>
      </c>
      <c r="H18" s="9"/>
      <c r="I18" s="9"/>
      <c r="J18" s="9"/>
    </row>
    <row r="19" spans="1:10" ht="25.5">
      <c r="A19" s="13" t="s">
        <v>47</v>
      </c>
      <c r="B19" s="14" t="s">
        <v>48</v>
      </c>
      <c r="C19" s="110" t="s">
        <v>49</v>
      </c>
      <c r="D19" s="110"/>
      <c r="E19" s="110"/>
      <c r="F19" s="110"/>
      <c r="G19" s="15">
        <f>SUM(G7:G18)</f>
        <v>9910562</v>
      </c>
      <c r="H19" s="15">
        <f>SUM(H7:H18)</f>
        <v>9572562</v>
      </c>
      <c r="I19" s="15">
        <f>SUM(I7:I18)</f>
        <v>282000</v>
      </c>
      <c r="J19" s="15">
        <f>SUM(J7:J18)</f>
        <v>0</v>
      </c>
    </row>
    <row r="20" spans="1:10" ht="51">
      <c r="A20" s="13" t="s">
        <v>50</v>
      </c>
      <c r="B20" s="14" t="s">
        <v>51</v>
      </c>
      <c r="C20" s="110" t="s">
        <v>52</v>
      </c>
      <c r="D20" s="110"/>
      <c r="E20" s="110"/>
      <c r="F20" s="110"/>
      <c r="G20" s="18">
        <f>((G7+G10+G15+G8)*0.13)+(G11*0.28)</f>
        <v>1325373.06</v>
      </c>
      <c r="H20" s="18">
        <f>((H7+H10+H15+H8)*0.13)+(H11*0.28)</f>
        <v>1284033.06</v>
      </c>
      <c r="I20" s="18">
        <f>((I7+I10+I15+I8)*0.13)+(I11*0.28)</f>
        <v>36660</v>
      </c>
      <c r="J20" s="18">
        <f>((J7+J10+J15+J8)*0.13)+(J11*0.28)</f>
        <v>0</v>
      </c>
    </row>
    <row r="21" spans="1:10" ht="25.5">
      <c r="A21" s="5" t="s">
        <v>53</v>
      </c>
      <c r="B21" s="10" t="s">
        <v>54</v>
      </c>
      <c r="C21" s="160" t="s">
        <v>55</v>
      </c>
      <c r="D21" s="160"/>
      <c r="E21" s="160"/>
      <c r="F21" s="160"/>
      <c r="G21" s="8">
        <v>1250000</v>
      </c>
      <c r="H21" s="29">
        <f>G21</f>
        <v>1250000</v>
      </c>
      <c r="I21" s="9"/>
      <c r="J21" s="9"/>
    </row>
    <row r="22" spans="1:10" ht="38.25">
      <c r="A22" s="5" t="s">
        <v>56</v>
      </c>
      <c r="B22" s="10" t="s">
        <v>57</v>
      </c>
      <c r="C22" s="53" t="s">
        <v>58</v>
      </c>
      <c r="D22" s="54"/>
      <c r="E22" s="54"/>
      <c r="F22" s="55"/>
      <c r="G22" s="8">
        <f>500000+70000</f>
        <v>570000</v>
      </c>
      <c r="H22" s="29">
        <f aca="true" t="shared" si="0" ref="H22:H32">G22</f>
        <v>570000</v>
      </c>
      <c r="I22" s="9"/>
      <c r="J22" s="9"/>
    </row>
    <row r="23" spans="1:10" ht="38.25">
      <c r="A23" s="5" t="s">
        <v>59</v>
      </c>
      <c r="B23" s="10" t="s">
        <v>60</v>
      </c>
      <c r="C23" s="150" t="s">
        <v>61</v>
      </c>
      <c r="D23" s="150"/>
      <c r="E23" s="150"/>
      <c r="F23" s="150"/>
      <c r="G23" s="8">
        <f>250000+150000</f>
        <v>400000</v>
      </c>
      <c r="H23" s="29">
        <f t="shared" si="0"/>
        <v>400000</v>
      </c>
      <c r="I23" s="9"/>
      <c r="J23" s="9"/>
    </row>
    <row r="24" spans="1:10" ht="38.25">
      <c r="A24" s="5" t="s">
        <v>62</v>
      </c>
      <c r="B24" s="10" t="s">
        <v>63</v>
      </c>
      <c r="C24" s="106" t="s">
        <v>64</v>
      </c>
      <c r="D24" s="106"/>
      <c r="E24" s="106"/>
      <c r="F24" s="106"/>
      <c r="G24" s="8">
        <v>300000</v>
      </c>
      <c r="H24" s="29">
        <f t="shared" si="0"/>
        <v>300000</v>
      </c>
      <c r="I24" s="9"/>
      <c r="J24" s="9"/>
    </row>
    <row r="25" spans="1:10" ht="15">
      <c r="A25" s="5" t="s">
        <v>65</v>
      </c>
      <c r="B25" s="19" t="s">
        <v>66</v>
      </c>
      <c r="C25" s="106" t="s">
        <v>67</v>
      </c>
      <c r="D25" s="106"/>
      <c r="E25" s="106"/>
      <c r="F25" s="106"/>
      <c r="G25" s="8">
        <f>600000+300000+30000</f>
        <v>930000</v>
      </c>
      <c r="H25" s="29">
        <f t="shared" si="0"/>
        <v>930000</v>
      </c>
      <c r="I25" s="9"/>
      <c r="J25" s="9"/>
    </row>
    <row r="26" spans="1:10" ht="38.25">
      <c r="A26" s="5" t="s">
        <v>68</v>
      </c>
      <c r="B26" s="19" t="s">
        <v>69</v>
      </c>
      <c r="C26" s="160" t="s">
        <v>70</v>
      </c>
      <c r="D26" s="160"/>
      <c r="E26" s="160"/>
      <c r="F26" s="160"/>
      <c r="G26" s="8">
        <v>50000</v>
      </c>
      <c r="H26" s="29">
        <f t="shared" si="0"/>
        <v>50000</v>
      </c>
      <c r="I26" s="9"/>
      <c r="J26" s="9"/>
    </row>
    <row r="27" spans="1:10" ht="25.5">
      <c r="A27" s="5" t="s">
        <v>71</v>
      </c>
      <c r="B27" s="19" t="s">
        <v>72</v>
      </c>
      <c r="C27" s="53" t="s">
        <v>73</v>
      </c>
      <c r="D27" s="54"/>
      <c r="E27" s="54"/>
      <c r="F27" s="55"/>
      <c r="G27" s="8"/>
      <c r="H27" s="29">
        <f t="shared" si="0"/>
        <v>0</v>
      </c>
      <c r="I27" s="9"/>
      <c r="J27" s="9"/>
    </row>
    <row r="28" spans="1:10" ht="51">
      <c r="A28" s="5" t="s">
        <v>74</v>
      </c>
      <c r="B28" s="19" t="s">
        <v>75</v>
      </c>
      <c r="C28" s="150" t="s">
        <v>76</v>
      </c>
      <c r="D28" s="150"/>
      <c r="E28" s="150"/>
      <c r="F28" s="150"/>
      <c r="G28" s="8"/>
      <c r="H28" s="29">
        <f t="shared" si="0"/>
        <v>0</v>
      </c>
      <c r="I28" s="9"/>
      <c r="J28" s="9"/>
    </row>
    <row r="29" spans="1:10" ht="25.5">
      <c r="A29" s="5" t="s">
        <v>77</v>
      </c>
      <c r="B29" s="19" t="s">
        <v>78</v>
      </c>
      <c r="C29" s="160" t="s">
        <v>79</v>
      </c>
      <c r="D29" s="160"/>
      <c r="E29" s="160"/>
      <c r="F29" s="160"/>
      <c r="G29" s="8">
        <f>1500000+150000+100000</f>
        <v>1750000</v>
      </c>
      <c r="H29" s="29">
        <f t="shared" si="0"/>
        <v>1750000</v>
      </c>
      <c r="I29" s="9"/>
      <c r="J29" s="9"/>
    </row>
    <row r="30" spans="1:10" ht="25.5">
      <c r="A30" s="5" t="s">
        <v>80</v>
      </c>
      <c r="B30" s="19" t="s">
        <v>81</v>
      </c>
      <c r="C30" s="53" t="s">
        <v>82</v>
      </c>
      <c r="D30" s="54"/>
      <c r="E30" s="54"/>
      <c r="F30" s="55"/>
      <c r="G30" s="8">
        <v>70000</v>
      </c>
      <c r="H30" s="29">
        <v>0</v>
      </c>
      <c r="I30" s="29">
        <f>G30</f>
        <v>70000</v>
      </c>
      <c r="J30" s="9"/>
    </row>
    <row r="31" spans="1:10" ht="63.75">
      <c r="A31" s="5" t="s">
        <v>83</v>
      </c>
      <c r="B31" s="19" t="s">
        <v>84</v>
      </c>
      <c r="C31" s="150" t="s">
        <v>85</v>
      </c>
      <c r="D31" s="150"/>
      <c r="E31" s="150"/>
      <c r="F31" s="150"/>
      <c r="G31" s="8">
        <f>(G21*0.05)+((G22+G23+G24+G25+G26+G29)*0.27)-27000</f>
        <v>1115500</v>
      </c>
      <c r="H31" s="29">
        <f t="shared" si="0"/>
        <v>1115500</v>
      </c>
      <c r="I31" s="9"/>
      <c r="J31" s="9"/>
    </row>
    <row r="32" spans="1:10" ht="25.5">
      <c r="A32" s="5" t="s">
        <v>86</v>
      </c>
      <c r="B32" s="21" t="s">
        <v>87</v>
      </c>
      <c r="C32" s="106" t="s">
        <v>88</v>
      </c>
      <c r="D32" s="106"/>
      <c r="E32" s="106"/>
      <c r="F32" s="106"/>
      <c r="G32" s="11">
        <f>100000*0.27</f>
        <v>27000</v>
      </c>
      <c r="H32" s="29">
        <f t="shared" si="0"/>
        <v>27000</v>
      </c>
      <c r="I32" s="9">
        <v>0</v>
      </c>
      <c r="J32" s="9"/>
    </row>
    <row r="33" spans="1:10" ht="15">
      <c r="A33" s="13" t="s">
        <v>89</v>
      </c>
      <c r="B33" s="14" t="s">
        <v>90</v>
      </c>
      <c r="C33" s="162" t="s">
        <v>91</v>
      </c>
      <c r="D33" s="162"/>
      <c r="E33" s="162"/>
      <c r="F33" s="162"/>
      <c r="G33" s="18">
        <f>SUM(G21:G32)</f>
        <v>6462500</v>
      </c>
      <c r="H33" s="18">
        <f>SUM(H21:H32)</f>
        <v>6392500</v>
      </c>
      <c r="I33" s="18">
        <f>SUM(I21:I32)</f>
        <v>70000</v>
      </c>
      <c r="J33" s="18">
        <f>SUM(J21:J32)</f>
        <v>0</v>
      </c>
    </row>
    <row r="34" spans="1:10" ht="38.25">
      <c r="A34" s="5" t="s">
        <v>92</v>
      </c>
      <c r="B34" s="10" t="s">
        <v>93</v>
      </c>
      <c r="C34" s="53" t="s">
        <v>94</v>
      </c>
      <c r="D34" s="169"/>
      <c r="E34" s="169"/>
      <c r="F34" s="161"/>
      <c r="G34" s="59"/>
      <c r="H34" s="9"/>
      <c r="I34" s="9"/>
      <c r="J34" s="9"/>
    </row>
    <row r="35" spans="1:10" ht="38.25">
      <c r="A35" s="5" t="s">
        <v>95</v>
      </c>
      <c r="B35" s="10" t="s">
        <v>96</v>
      </c>
      <c r="C35" s="155" t="s">
        <v>97</v>
      </c>
      <c r="D35" s="163"/>
      <c r="E35" s="163"/>
      <c r="F35" s="168"/>
      <c r="G35" s="59"/>
      <c r="H35" s="9"/>
      <c r="I35" s="9"/>
      <c r="J35" s="9"/>
    </row>
    <row r="36" spans="1:10" ht="25.5">
      <c r="A36" s="13" t="s">
        <v>98</v>
      </c>
      <c r="B36" s="14" t="s">
        <v>99</v>
      </c>
      <c r="C36" s="23" t="s">
        <v>100</v>
      </c>
      <c r="D36" s="23"/>
      <c r="E36" s="23"/>
      <c r="F36" s="23"/>
      <c r="G36" s="18">
        <f>SUM(G34:G35)</f>
        <v>0</v>
      </c>
      <c r="H36" s="18">
        <f>SUM(H34:H35)</f>
        <v>0</v>
      </c>
      <c r="I36" s="18">
        <f>SUM(I34:I35)</f>
        <v>0</v>
      </c>
      <c r="J36" s="18">
        <f>SUM(J34:J35)</f>
        <v>0</v>
      </c>
    </row>
    <row r="37" spans="1:10" ht="51">
      <c r="A37" s="5" t="s">
        <v>101</v>
      </c>
      <c r="B37" s="10" t="s">
        <v>102</v>
      </c>
      <c r="C37" s="53" t="s">
        <v>103</v>
      </c>
      <c r="D37" s="169"/>
      <c r="E37" s="169"/>
      <c r="F37" s="161"/>
      <c r="G37" s="59"/>
      <c r="H37" s="9"/>
      <c r="I37" s="9"/>
      <c r="J37" s="9"/>
    </row>
    <row r="38" spans="1:10" ht="51">
      <c r="A38" s="5" t="s">
        <v>104</v>
      </c>
      <c r="B38" s="10" t="s">
        <v>105</v>
      </c>
      <c r="C38" s="53" t="s">
        <v>106</v>
      </c>
      <c r="D38" s="169"/>
      <c r="E38" s="169"/>
      <c r="F38" s="161"/>
      <c r="G38" s="59"/>
      <c r="H38" s="9"/>
      <c r="I38" s="9"/>
      <c r="J38" s="9"/>
    </row>
    <row r="39" spans="1:10" ht="15">
      <c r="A39" s="5" t="s">
        <v>107</v>
      </c>
      <c r="B39" s="10" t="s">
        <v>108</v>
      </c>
      <c r="C39" s="159" t="s">
        <v>109</v>
      </c>
      <c r="D39" s="165"/>
      <c r="E39" s="165"/>
      <c r="F39" s="164"/>
      <c r="G39" s="59"/>
      <c r="H39" s="9"/>
      <c r="I39" s="9"/>
      <c r="J39" s="9"/>
    </row>
    <row r="40" spans="1:10" ht="25.5">
      <c r="A40" s="13" t="s">
        <v>110</v>
      </c>
      <c r="B40" s="24" t="s">
        <v>111</v>
      </c>
      <c r="C40" s="170" t="s">
        <v>112</v>
      </c>
      <c r="D40" s="166"/>
      <c r="E40" s="166"/>
      <c r="F40" s="171"/>
      <c r="G40" s="18">
        <f>SUM(G37:G39)</f>
        <v>0</v>
      </c>
      <c r="H40" s="18">
        <f>SUM(H37:H39)</f>
        <v>0</v>
      </c>
      <c r="I40" s="18">
        <f>SUM(I37:I39)</f>
        <v>0</v>
      </c>
      <c r="J40" s="18">
        <f>SUM(J37:J39)</f>
        <v>0</v>
      </c>
    </row>
    <row r="41" spans="1:10" ht="51">
      <c r="A41" s="5" t="s">
        <v>113</v>
      </c>
      <c r="B41" s="10" t="s">
        <v>117</v>
      </c>
      <c r="C41" s="53" t="s">
        <v>118</v>
      </c>
      <c r="D41" s="169"/>
      <c r="E41" s="169"/>
      <c r="F41" s="161"/>
      <c r="G41" s="59">
        <f>(500000+100000+200000+50000)-180710</f>
        <v>669290</v>
      </c>
      <c r="H41" s="59">
        <v>0</v>
      </c>
      <c r="I41" s="59">
        <f>(500000+100000+200000+50000)-180710</f>
        <v>669290</v>
      </c>
      <c r="J41" s="59">
        <v>0</v>
      </c>
    </row>
    <row r="42" spans="1:10" ht="63.75">
      <c r="A42" s="5" t="s">
        <v>116</v>
      </c>
      <c r="B42" s="10" t="s">
        <v>120</v>
      </c>
      <c r="C42" s="155" t="s">
        <v>121</v>
      </c>
      <c r="D42" s="163"/>
      <c r="E42" s="163"/>
      <c r="F42" s="168"/>
      <c r="G42" s="59">
        <f>(G41*0.27)+2</f>
        <v>180710.30000000002</v>
      </c>
      <c r="H42" s="59">
        <v>0</v>
      </c>
      <c r="I42" s="59">
        <f>(I41*0.27)+2</f>
        <v>180710.30000000002</v>
      </c>
      <c r="J42" s="59">
        <v>0</v>
      </c>
    </row>
    <row r="43" spans="1:10" ht="15">
      <c r="A43" s="13" t="s">
        <v>119</v>
      </c>
      <c r="B43" s="14" t="s">
        <v>123</v>
      </c>
      <c r="C43" s="23" t="s">
        <v>124</v>
      </c>
      <c r="D43" s="23"/>
      <c r="E43" s="23"/>
      <c r="F43" s="23"/>
      <c r="G43" s="18">
        <f>SUM(G41:G42)</f>
        <v>850000.3</v>
      </c>
      <c r="H43" s="18">
        <f>SUM(H41:H42)</f>
        <v>0</v>
      </c>
      <c r="I43" s="18">
        <f>SUM(I41:I42)</f>
        <v>850000.3</v>
      </c>
      <c r="J43" s="18">
        <f>SUM(J41:J42)</f>
        <v>0</v>
      </c>
    </row>
    <row r="44" spans="1:10" ht="25.5">
      <c r="A44" s="5" t="s">
        <v>122</v>
      </c>
      <c r="B44" s="10" t="s">
        <v>126</v>
      </c>
      <c r="C44" s="53" t="s">
        <v>127</v>
      </c>
      <c r="D44" s="169"/>
      <c r="E44" s="169"/>
      <c r="F44" s="161"/>
      <c r="G44" s="59"/>
      <c r="H44" s="9"/>
      <c r="I44" s="9"/>
      <c r="J44" s="9"/>
    </row>
    <row r="45" spans="1:10" ht="63.75">
      <c r="A45" s="5" t="s">
        <v>125</v>
      </c>
      <c r="B45" s="10" t="s">
        <v>129</v>
      </c>
      <c r="C45" s="53" t="s">
        <v>130</v>
      </c>
      <c r="D45" s="54"/>
      <c r="E45" s="54"/>
      <c r="F45" s="55"/>
      <c r="G45" s="11"/>
      <c r="H45" s="9"/>
      <c r="I45" s="9"/>
      <c r="J45" s="9"/>
    </row>
    <row r="46" spans="1:10" ht="15">
      <c r="A46" s="13" t="s">
        <v>128</v>
      </c>
      <c r="B46" s="14" t="s">
        <v>132</v>
      </c>
      <c r="C46" s="23" t="s">
        <v>133</v>
      </c>
      <c r="D46" s="23"/>
      <c r="E46" s="23"/>
      <c r="F46" s="23"/>
      <c r="G46" s="18">
        <f>SUM(G44:G45)</f>
        <v>0</v>
      </c>
      <c r="H46" s="18">
        <f>SUM(H44:H45)</f>
        <v>0</v>
      </c>
      <c r="I46" s="18">
        <f>SUM(I44:I45)</f>
        <v>0</v>
      </c>
      <c r="J46" s="18">
        <f>SUM(J44:J45)</f>
        <v>0</v>
      </c>
    </row>
    <row r="47" spans="1:10" ht="76.5">
      <c r="A47" s="5" t="s">
        <v>131</v>
      </c>
      <c r="B47" s="10" t="s">
        <v>135</v>
      </c>
      <c r="C47" s="53" t="s">
        <v>136</v>
      </c>
      <c r="D47" s="54"/>
      <c r="E47" s="54"/>
      <c r="F47" s="55"/>
      <c r="G47" s="11"/>
      <c r="H47" s="9"/>
      <c r="I47" s="9"/>
      <c r="J47" s="9"/>
    </row>
    <row r="48" spans="1:10" ht="25.5">
      <c r="A48" s="13" t="s">
        <v>134</v>
      </c>
      <c r="B48" s="14" t="s">
        <v>138</v>
      </c>
      <c r="C48" s="56" t="s">
        <v>139</v>
      </c>
      <c r="D48" s="41"/>
      <c r="E48" s="41"/>
      <c r="F48" s="57"/>
      <c r="G48" s="18">
        <f>SUM(G47)</f>
        <v>0</v>
      </c>
      <c r="H48" s="18">
        <f>SUM(H47)</f>
        <v>0</v>
      </c>
      <c r="I48" s="18">
        <f>SUM(I47)</f>
        <v>0</v>
      </c>
      <c r="J48" s="18">
        <f>SUM(J47)</f>
        <v>0</v>
      </c>
    </row>
    <row r="49" spans="1:10" ht="25.5">
      <c r="A49" s="13" t="s">
        <v>137</v>
      </c>
      <c r="B49" s="30" t="s">
        <v>141</v>
      </c>
      <c r="C49" s="167" t="s">
        <v>142</v>
      </c>
      <c r="D49" s="167"/>
      <c r="E49" s="167"/>
      <c r="F49" s="167"/>
      <c r="G49" s="18">
        <f>G19+G20+G33+G36+G40+G43+G46+G48</f>
        <v>18548435.360000003</v>
      </c>
      <c r="H49" s="18">
        <f>H19+H20+H33+H36+H40+H43+H46+H48</f>
        <v>17249095.060000002</v>
      </c>
      <c r="I49" s="18">
        <f>I19+I20+I33+I36+I40+I43+I46+I48</f>
        <v>1238660.3</v>
      </c>
      <c r="J49" s="18">
        <f>J19+J20+J33+J36+J40+J43+J46+J48</f>
        <v>0</v>
      </c>
    </row>
    <row r="50" spans="1:10" ht="15">
      <c r="A50" s="31"/>
      <c r="B50" s="2"/>
      <c r="C50" s="2"/>
      <c r="D50" s="2"/>
      <c r="E50" s="2"/>
      <c r="F50" s="2"/>
      <c r="G50" s="32"/>
      <c r="H50" s="2"/>
      <c r="I50" s="2"/>
      <c r="J50" s="2"/>
    </row>
    <row r="51" spans="1:10" ht="15">
      <c r="A51" s="123" t="s">
        <v>143</v>
      </c>
      <c r="B51" s="123"/>
      <c r="C51" s="123"/>
      <c r="D51" s="123"/>
      <c r="E51" s="123"/>
      <c r="F51" s="123"/>
      <c r="G51" s="123"/>
      <c r="H51" s="33"/>
      <c r="I51" s="33"/>
      <c r="J51" s="33"/>
    </row>
    <row r="52" spans="1:10" ht="15">
      <c r="A52" s="112" t="s">
        <v>3</v>
      </c>
      <c r="B52" s="113" t="s">
        <v>4</v>
      </c>
      <c r="C52" s="114" t="s">
        <v>5</v>
      </c>
      <c r="D52" s="114"/>
      <c r="E52" s="114"/>
      <c r="F52" s="114"/>
      <c r="G52" s="115" t="s">
        <v>144</v>
      </c>
      <c r="H52" s="3"/>
      <c r="I52" s="3"/>
      <c r="J52" s="3"/>
    </row>
    <row r="53" spans="1:10" ht="15">
      <c r="A53" s="112"/>
      <c r="B53" s="113"/>
      <c r="C53" s="114"/>
      <c r="D53" s="114"/>
      <c r="E53" s="114"/>
      <c r="F53" s="114"/>
      <c r="G53" s="115"/>
      <c r="H53" s="2"/>
      <c r="I53" s="2"/>
      <c r="J53" s="2"/>
    </row>
    <row r="54" spans="1:10" ht="51">
      <c r="A54" s="5" t="s">
        <v>140</v>
      </c>
      <c r="B54" s="19" t="s">
        <v>145</v>
      </c>
      <c r="C54" s="106" t="s">
        <v>146</v>
      </c>
      <c r="D54" s="106"/>
      <c r="E54" s="106"/>
      <c r="F54" s="106"/>
      <c r="G54" s="8"/>
      <c r="H54" s="36"/>
      <c r="I54" s="36"/>
      <c r="J54" s="36"/>
    </row>
    <row r="55" spans="1:10" ht="38.25">
      <c r="A55" s="5" t="s">
        <v>147</v>
      </c>
      <c r="B55" s="19" t="s">
        <v>148</v>
      </c>
      <c r="C55" s="106" t="s">
        <v>149</v>
      </c>
      <c r="D55" s="106"/>
      <c r="E55" s="106"/>
      <c r="F55" s="106"/>
      <c r="G55" s="8"/>
      <c r="H55" s="36"/>
      <c r="I55" s="36"/>
      <c r="J55" s="36"/>
    </row>
    <row r="56" spans="1:10" ht="25.5">
      <c r="A56" s="13" t="s">
        <v>150</v>
      </c>
      <c r="B56" s="30" t="s">
        <v>151</v>
      </c>
      <c r="C56" s="110" t="s">
        <v>152</v>
      </c>
      <c r="D56" s="110"/>
      <c r="E56" s="110"/>
      <c r="F56" s="110"/>
      <c r="G56" s="18">
        <f>SUM(G54:G55)</f>
        <v>0</v>
      </c>
      <c r="H56" s="36"/>
      <c r="I56" s="36"/>
      <c r="J56" s="36"/>
    </row>
    <row r="57" spans="1:10" ht="15">
      <c r="A57" s="38"/>
      <c r="B57" s="2"/>
      <c r="C57" s="2"/>
      <c r="D57" s="2"/>
      <c r="E57" s="2"/>
      <c r="F57" s="2"/>
      <c r="G57" s="32"/>
      <c r="H57" s="2"/>
      <c r="I57" s="2"/>
      <c r="J57" s="2"/>
    </row>
    <row r="58" spans="1:10" ht="25.5">
      <c r="A58" s="39"/>
      <c r="B58" s="40" t="s">
        <v>153</v>
      </c>
      <c r="C58" s="108"/>
      <c r="D58" s="108"/>
      <c r="E58" s="108"/>
      <c r="F58" s="108"/>
      <c r="G58" s="42">
        <f>G49+G56</f>
        <v>18548435.360000003</v>
      </c>
      <c r="H58" s="2"/>
      <c r="I58" s="2"/>
      <c r="J58" s="2"/>
    </row>
    <row r="59" spans="1:10" ht="15">
      <c r="A59" s="38"/>
      <c r="B59" s="2"/>
      <c r="C59" s="2"/>
      <c r="D59" s="2"/>
      <c r="E59" s="2"/>
      <c r="F59" s="2"/>
      <c r="G59" s="32"/>
      <c r="H59" s="2"/>
      <c r="I59" s="2"/>
      <c r="J59" s="2"/>
    </row>
    <row r="60" spans="1:10" ht="15">
      <c r="A60" s="38"/>
      <c r="B60" s="103" t="s">
        <v>244</v>
      </c>
      <c r="C60" s="104"/>
      <c r="D60" s="104"/>
      <c r="E60" s="104"/>
      <c r="F60" s="104"/>
      <c r="G60" s="105">
        <f>11157946</f>
        <v>11157946</v>
      </c>
      <c r="H60" s="2"/>
      <c r="I60" s="2"/>
      <c r="J60" s="2"/>
    </row>
  </sheetData>
  <sheetProtection/>
  <mergeCells count="36">
    <mergeCell ref="A1:G1"/>
    <mergeCell ref="A3:G3"/>
    <mergeCell ref="A4:G4"/>
    <mergeCell ref="A5:A6"/>
    <mergeCell ref="B5:B6"/>
    <mergeCell ref="C5:F6"/>
    <mergeCell ref="G5:G6"/>
    <mergeCell ref="H5:J5"/>
    <mergeCell ref="C7:F7"/>
    <mergeCell ref="C11:F11"/>
    <mergeCell ref="C13:F13"/>
    <mergeCell ref="C16:F16"/>
    <mergeCell ref="C17:F17"/>
    <mergeCell ref="C18:F18"/>
    <mergeCell ref="C19:F19"/>
    <mergeCell ref="C20:F20"/>
    <mergeCell ref="C21:F21"/>
    <mergeCell ref="C23:F23"/>
    <mergeCell ref="C24:F24"/>
    <mergeCell ref="G52:G53"/>
    <mergeCell ref="C25:F25"/>
    <mergeCell ref="C26:F26"/>
    <mergeCell ref="C28:F28"/>
    <mergeCell ref="C29:F29"/>
    <mergeCell ref="C31:F31"/>
    <mergeCell ref="C32:F32"/>
    <mergeCell ref="C54:F54"/>
    <mergeCell ref="C55:F55"/>
    <mergeCell ref="C56:F56"/>
    <mergeCell ref="C58:F58"/>
    <mergeCell ref="C33:F33"/>
    <mergeCell ref="C49:F49"/>
    <mergeCell ref="A51:G51"/>
    <mergeCell ref="A52:A53"/>
    <mergeCell ref="B52:B53"/>
    <mergeCell ref="C52:F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2">
      <selection activeCell="G62" sqref="G62"/>
    </sheetView>
  </sheetViews>
  <sheetFormatPr defaultColWidth="9.140625" defaultRowHeight="15"/>
  <cols>
    <col min="2" max="2" width="27.421875" style="0" customWidth="1"/>
    <col min="6" max="6" width="9.00390625" style="0" customWidth="1"/>
    <col min="7" max="7" width="15.8515625" style="0" customWidth="1"/>
    <col min="8" max="9" width="10.8515625" style="0" bestFit="1" customWidth="1"/>
    <col min="10" max="10" width="6.28125" style="0" bestFit="1" customWidth="1"/>
  </cols>
  <sheetData>
    <row r="1" spans="1:10" ht="15">
      <c r="A1" s="119" t="s">
        <v>0</v>
      </c>
      <c r="B1" s="119"/>
      <c r="C1" s="119"/>
      <c r="D1" s="119"/>
      <c r="E1" s="119"/>
      <c r="F1" s="119"/>
      <c r="G1" s="119"/>
      <c r="H1" s="119"/>
      <c r="I1" s="2"/>
      <c r="J1" s="2"/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">
      <c r="A3" s="124" t="s">
        <v>1</v>
      </c>
      <c r="B3" s="124"/>
      <c r="C3" s="124"/>
      <c r="D3" s="124"/>
      <c r="E3" s="124"/>
      <c r="F3" s="124"/>
      <c r="G3" s="124"/>
      <c r="H3" s="124"/>
      <c r="I3" s="3"/>
      <c r="J3" s="3"/>
    </row>
    <row r="4" spans="1:10" ht="15">
      <c r="A4" s="125" t="s">
        <v>2</v>
      </c>
      <c r="B4" s="126"/>
      <c r="C4" s="126"/>
      <c r="D4" s="126"/>
      <c r="E4" s="126"/>
      <c r="F4" s="126"/>
      <c r="G4" s="126"/>
      <c r="H4" s="126"/>
      <c r="I4" s="3"/>
      <c r="J4" s="3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6</v>
      </c>
      <c r="H5" s="116" t="s">
        <v>7</v>
      </c>
      <c r="I5" s="117"/>
      <c r="J5" s="118"/>
    </row>
    <row r="6" spans="1:10" ht="51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12</v>
      </c>
      <c r="C7" s="106" t="s">
        <v>13</v>
      </c>
      <c r="D7" s="106"/>
      <c r="E7" s="106"/>
      <c r="F7" s="106"/>
      <c r="G7" s="8">
        <v>71204782</v>
      </c>
      <c r="H7" s="8">
        <f>G7</f>
        <v>71204782</v>
      </c>
      <c r="I7" s="9"/>
      <c r="J7" s="9"/>
    </row>
    <row r="8" spans="1:10" ht="15">
      <c r="A8" s="5" t="s">
        <v>14</v>
      </c>
      <c r="B8" s="6" t="s">
        <v>15</v>
      </c>
      <c r="C8" s="7" t="s">
        <v>16</v>
      </c>
      <c r="D8" s="7"/>
      <c r="E8" s="7"/>
      <c r="F8" s="7"/>
      <c r="G8" s="8">
        <v>990000</v>
      </c>
      <c r="H8" s="8">
        <f aca="true" t="shared" si="0" ref="H8:H17">G8</f>
        <v>990000</v>
      </c>
      <c r="I8" s="9"/>
      <c r="J8" s="9"/>
    </row>
    <row r="9" spans="1:10" ht="38.25">
      <c r="A9" s="5" t="s">
        <v>17</v>
      </c>
      <c r="B9" s="6" t="s">
        <v>18</v>
      </c>
      <c r="C9" s="7" t="s">
        <v>19</v>
      </c>
      <c r="D9" s="7"/>
      <c r="E9" s="7"/>
      <c r="F9" s="7"/>
      <c r="G9" s="8">
        <v>0</v>
      </c>
      <c r="H9" s="8">
        <f t="shared" si="0"/>
        <v>0</v>
      </c>
      <c r="I9" s="9"/>
      <c r="J9" s="9"/>
    </row>
    <row r="10" spans="1:10" ht="15">
      <c r="A10" s="5" t="s">
        <v>20</v>
      </c>
      <c r="B10" s="6" t="s">
        <v>21</v>
      </c>
      <c r="C10" s="7" t="s">
        <v>22</v>
      </c>
      <c r="D10" s="7"/>
      <c r="E10" s="7"/>
      <c r="F10" s="7"/>
      <c r="G10" s="8">
        <v>1044278</v>
      </c>
      <c r="H10" s="8">
        <f t="shared" si="0"/>
        <v>1044278</v>
      </c>
      <c r="I10" s="9"/>
      <c r="J10" s="9"/>
    </row>
    <row r="11" spans="1:10" ht="15">
      <c r="A11" s="5" t="s">
        <v>23</v>
      </c>
      <c r="B11" s="10" t="s">
        <v>24</v>
      </c>
      <c r="C11" s="106" t="s">
        <v>25</v>
      </c>
      <c r="D11" s="106"/>
      <c r="E11" s="106"/>
      <c r="F11" s="106"/>
      <c r="G11" s="8">
        <v>1080000</v>
      </c>
      <c r="H11" s="8">
        <f t="shared" si="0"/>
        <v>1080000</v>
      </c>
      <c r="I11" s="9"/>
      <c r="J11" s="9"/>
    </row>
    <row r="12" spans="1:10" ht="15">
      <c r="A12" s="5" t="s">
        <v>26</v>
      </c>
      <c r="B12" s="10" t="s">
        <v>27</v>
      </c>
      <c r="C12" s="7" t="s">
        <v>28</v>
      </c>
      <c r="D12" s="7"/>
      <c r="E12" s="7"/>
      <c r="F12" s="7"/>
      <c r="G12" s="8">
        <v>0</v>
      </c>
      <c r="H12" s="8">
        <f t="shared" si="0"/>
        <v>0</v>
      </c>
      <c r="I12" s="9"/>
      <c r="J12" s="9"/>
    </row>
    <row r="13" spans="1:10" ht="15">
      <c r="A13" s="5" t="s">
        <v>29</v>
      </c>
      <c r="B13" s="10" t="s">
        <v>30</v>
      </c>
      <c r="C13" s="106" t="s">
        <v>31</v>
      </c>
      <c r="D13" s="106"/>
      <c r="E13" s="106"/>
      <c r="F13" s="106"/>
      <c r="G13" s="8">
        <v>155000</v>
      </c>
      <c r="H13" s="8">
        <f t="shared" si="0"/>
        <v>155000</v>
      </c>
      <c r="I13" s="9"/>
      <c r="J13" s="9"/>
    </row>
    <row r="14" spans="1:10" ht="15">
      <c r="A14" s="5" t="s">
        <v>32</v>
      </c>
      <c r="B14" s="10" t="s">
        <v>33</v>
      </c>
      <c r="C14" s="7" t="s">
        <v>34</v>
      </c>
      <c r="D14" s="7"/>
      <c r="E14" s="7"/>
      <c r="F14" s="7"/>
      <c r="G14" s="8">
        <v>0</v>
      </c>
      <c r="H14" s="8">
        <f t="shared" si="0"/>
        <v>0</v>
      </c>
      <c r="I14" s="9"/>
      <c r="J14" s="9"/>
    </row>
    <row r="15" spans="1:10" ht="25.5">
      <c r="A15" s="5" t="s">
        <v>35</v>
      </c>
      <c r="B15" s="10" t="s">
        <v>36</v>
      </c>
      <c r="C15" s="7" t="s">
        <v>37</v>
      </c>
      <c r="D15" s="7"/>
      <c r="E15" s="7"/>
      <c r="F15" s="7"/>
      <c r="G15" s="8">
        <v>15000</v>
      </c>
      <c r="H15" s="8">
        <f t="shared" si="0"/>
        <v>15000</v>
      </c>
      <c r="I15" s="9"/>
      <c r="J15" s="9"/>
    </row>
    <row r="16" spans="1:10" ht="25.5">
      <c r="A16" s="5" t="s">
        <v>38</v>
      </c>
      <c r="B16" s="10" t="s">
        <v>39</v>
      </c>
      <c r="C16" s="106" t="s">
        <v>40</v>
      </c>
      <c r="D16" s="106"/>
      <c r="E16" s="106"/>
      <c r="F16" s="106"/>
      <c r="G16" s="8">
        <v>23491195</v>
      </c>
      <c r="H16" s="8">
        <f t="shared" si="0"/>
        <v>23491195</v>
      </c>
      <c r="I16" s="9"/>
      <c r="J16" s="9"/>
    </row>
    <row r="17" spans="1:10" ht="51">
      <c r="A17" s="5" t="s">
        <v>41</v>
      </c>
      <c r="B17" s="10" t="s">
        <v>42</v>
      </c>
      <c r="C17" s="106" t="s">
        <v>43</v>
      </c>
      <c r="D17" s="106"/>
      <c r="E17" s="106"/>
      <c r="F17" s="106"/>
      <c r="G17" s="11">
        <v>932000</v>
      </c>
      <c r="H17" s="8">
        <f t="shared" si="0"/>
        <v>932000</v>
      </c>
      <c r="I17" s="12"/>
      <c r="J17" s="12"/>
    </row>
    <row r="18" spans="1:10" ht="25.5">
      <c r="A18" s="5" t="s">
        <v>44</v>
      </c>
      <c r="B18" s="10" t="s">
        <v>45</v>
      </c>
      <c r="C18" s="106" t="s">
        <v>46</v>
      </c>
      <c r="D18" s="106"/>
      <c r="E18" s="106"/>
      <c r="F18" s="106"/>
      <c r="G18" s="8">
        <f>'[1]Önk.'!$F$216</f>
        <v>400000</v>
      </c>
      <c r="H18" s="8">
        <f>G18</f>
        <v>400000</v>
      </c>
      <c r="I18" s="9"/>
      <c r="J18" s="9"/>
    </row>
    <row r="19" spans="1:10" ht="15">
      <c r="A19" s="13" t="s">
        <v>47</v>
      </c>
      <c r="B19" s="14" t="s">
        <v>48</v>
      </c>
      <c r="C19" s="110" t="s">
        <v>49</v>
      </c>
      <c r="D19" s="110"/>
      <c r="E19" s="110"/>
      <c r="F19" s="110"/>
      <c r="G19" s="15">
        <f>SUM(G7:G18)</f>
        <v>99312255</v>
      </c>
      <c r="H19" s="15">
        <f>SUM(H7:H18)</f>
        <v>99312255</v>
      </c>
      <c r="I19" s="16"/>
      <c r="J19" s="17"/>
    </row>
    <row r="20" spans="1:10" ht="38.25">
      <c r="A20" s="13" t="s">
        <v>50</v>
      </c>
      <c r="B20" s="14" t="s">
        <v>51</v>
      </c>
      <c r="C20" s="110" t="s">
        <v>52</v>
      </c>
      <c r="D20" s="110"/>
      <c r="E20" s="110"/>
      <c r="F20" s="110"/>
      <c r="G20" s="18">
        <v>11733757</v>
      </c>
      <c r="H20" s="18">
        <v>11733757</v>
      </c>
      <c r="I20" s="17"/>
      <c r="J20" s="17"/>
    </row>
    <row r="21" spans="1:10" ht="25.5">
      <c r="A21" s="5" t="s">
        <v>53</v>
      </c>
      <c r="B21" s="10" t="s">
        <v>54</v>
      </c>
      <c r="C21" s="106" t="s">
        <v>55</v>
      </c>
      <c r="D21" s="106"/>
      <c r="E21" s="106"/>
      <c r="F21" s="106"/>
      <c r="G21" s="8">
        <v>300000</v>
      </c>
      <c r="H21" s="8">
        <f>G21</f>
        <v>300000</v>
      </c>
      <c r="I21" s="9"/>
      <c r="J21" s="9"/>
    </row>
    <row r="22" spans="1:10" ht="25.5">
      <c r="A22" s="5" t="s">
        <v>56</v>
      </c>
      <c r="B22" s="10" t="s">
        <v>57</v>
      </c>
      <c r="C22" s="7" t="s">
        <v>58</v>
      </c>
      <c r="D22" s="7"/>
      <c r="E22" s="7"/>
      <c r="F22" s="7"/>
      <c r="G22" s="8">
        <v>18036963</v>
      </c>
      <c r="H22" s="8">
        <f aca="true" t="shared" si="1" ref="H22:H32">G22</f>
        <v>18036963</v>
      </c>
      <c r="I22" s="9"/>
      <c r="J22" s="9"/>
    </row>
    <row r="23" spans="1:10" ht="25.5">
      <c r="A23" s="5" t="s">
        <v>59</v>
      </c>
      <c r="B23" s="10" t="s">
        <v>60</v>
      </c>
      <c r="C23" s="106" t="s">
        <v>61</v>
      </c>
      <c r="D23" s="106"/>
      <c r="E23" s="106"/>
      <c r="F23" s="106"/>
      <c r="G23" s="8">
        <v>855000</v>
      </c>
      <c r="H23" s="8">
        <f t="shared" si="1"/>
        <v>855000</v>
      </c>
      <c r="I23" s="9"/>
      <c r="J23" s="9"/>
    </row>
    <row r="24" spans="1:10" ht="25.5">
      <c r="A24" s="5" t="s">
        <v>62</v>
      </c>
      <c r="B24" s="10" t="s">
        <v>63</v>
      </c>
      <c r="C24" s="106" t="s">
        <v>64</v>
      </c>
      <c r="D24" s="106"/>
      <c r="E24" s="106"/>
      <c r="F24" s="106"/>
      <c r="G24" s="8">
        <v>1086000</v>
      </c>
      <c r="H24" s="8">
        <f t="shared" si="1"/>
        <v>1086000</v>
      </c>
      <c r="I24" s="9"/>
      <c r="J24" s="9"/>
    </row>
    <row r="25" spans="1:10" ht="15">
      <c r="A25" s="5" t="s">
        <v>65</v>
      </c>
      <c r="B25" s="19" t="s">
        <v>66</v>
      </c>
      <c r="C25" s="106" t="s">
        <v>67</v>
      </c>
      <c r="D25" s="106"/>
      <c r="E25" s="106"/>
      <c r="F25" s="106"/>
      <c r="G25" s="8">
        <v>18160000</v>
      </c>
      <c r="H25" s="8">
        <f t="shared" si="1"/>
        <v>18160000</v>
      </c>
      <c r="I25" s="9"/>
      <c r="J25" s="9"/>
    </row>
    <row r="26" spans="1:10" ht="25.5">
      <c r="A26" s="5" t="s">
        <v>68</v>
      </c>
      <c r="B26" s="19" t="s">
        <v>69</v>
      </c>
      <c r="C26" s="106" t="s">
        <v>70</v>
      </c>
      <c r="D26" s="106"/>
      <c r="E26" s="106"/>
      <c r="F26" s="106"/>
      <c r="G26" s="8">
        <v>1050000</v>
      </c>
      <c r="H26" s="8">
        <f t="shared" si="1"/>
        <v>1050000</v>
      </c>
      <c r="I26" s="9"/>
      <c r="J26" s="9"/>
    </row>
    <row r="27" spans="1:10" ht="15">
      <c r="A27" s="5" t="s">
        <v>71</v>
      </c>
      <c r="B27" s="19" t="s">
        <v>72</v>
      </c>
      <c r="C27" s="7" t="s">
        <v>73</v>
      </c>
      <c r="D27" s="7"/>
      <c r="E27" s="7"/>
      <c r="F27" s="7"/>
      <c r="G27" s="8">
        <v>1400000</v>
      </c>
      <c r="H27" s="8">
        <f t="shared" si="1"/>
        <v>1400000</v>
      </c>
      <c r="I27" s="9"/>
      <c r="J27" s="9"/>
    </row>
    <row r="28" spans="1:10" ht="25.5">
      <c r="A28" s="5" t="s">
        <v>74</v>
      </c>
      <c r="B28" s="19" t="s">
        <v>75</v>
      </c>
      <c r="C28" s="106" t="s">
        <v>76</v>
      </c>
      <c r="D28" s="106"/>
      <c r="E28" s="106"/>
      <c r="F28" s="106"/>
      <c r="G28" s="8">
        <v>19470000</v>
      </c>
      <c r="H28" s="8">
        <f t="shared" si="1"/>
        <v>19470000</v>
      </c>
      <c r="I28" s="9"/>
      <c r="J28" s="9"/>
    </row>
    <row r="29" spans="1:10" ht="15">
      <c r="A29" s="5" t="s">
        <v>77</v>
      </c>
      <c r="B29" s="19" t="s">
        <v>78</v>
      </c>
      <c r="C29" s="106" t="s">
        <v>79</v>
      </c>
      <c r="D29" s="106"/>
      <c r="E29" s="106"/>
      <c r="F29" s="106"/>
      <c r="G29" s="8">
        <v>23167088</v>
      </c>
      <c r="H29" s="8">
        <f t="shared" si="1"/>
        <v>23167088</v>
      </c>
      <c r="I29" s="9"/>
      <c r="J29" s="9"/>
    </row>
    <row r="30" spans="1:10" ht="15">
      <c r="A30" s="5" t="s">
        <v>80</v>
      </c>
      <c r="B30" s="19" t="s">
        <v>81</v>
      </c>
      <c r="C30" s="7" t="s">
        <v>82</v>
      </c>
      <c r="D30" s="7"/>
      <c r="E30" s="7"/>
      <c r="F30" s="7"/>
      <c r="G30" s="8">
        <v>0</v>
      </c>
      <c r="H30" s="8">
        <f t="shared" si="1"/>
        <v>0</v>
      </c>
      <c r="I30" s="9"/>
      <c r="J30" s="9"/>
    </row>
    <row r="31" spans="1:10" ht="38.25">
      <c r="A31" s="5" t="s">
        <v>83</v>
      </c>
      <c r="B31" s="19" t="s">
        <v>84</v>
      </c>
      <c r="C31" s="106" t="s">
        <v>85</v>
      </c>
      <c r="D31" s="106"/>
      <c r="E31" s="106"/>
      <c r="F31" s="106"/>
      <c r="G31" s="20">
        <v>17332009</v>
      </c>
      <c r="H31" s="8">
        <f t="shared" si="1"/>
        <v>17332009</v>
      </c>
      <c r="I31" s="9"/>
      <c r="J31" s="9"/>
    </row>
    <row r="32" spans="1:10" ht="25.5">
      <c r="A32" s="5" t="s">
        <v>86</v>
      </c>
      <c r="B32" s="21" t="s">
        <v>87</v>
      </c>
      <c r="C32" s="106" t="s">
        <v>88</v>
      </c>
      <c r="D32" s="106"/>
      <c r="E32" s="106"/>
      <c r="F32" s="106"/>
      <c r="G32" s="11">
        <v>2000000</v>
      </c>
      <c r="H32" s="8">
        <f t="shared" si="1"/>
        <v>2000000</v>
      </c>
      <c r="I32" s="9"/>
      <c r="J32" s="9"/>
    </row>
    <row r="33" spans="1:10" ht="15">
      <c r="A33" s="13" t="s">
        <v>89</v>
      </c>
      <c r="B33" s="14" t="s">
        <v>90</v>
      </c>
      <c r="C33" s="110" t="s">
        <v>91</v>
      </c>
      <c r="D33" s="110"/>
      <c r="E33" s="110"/>
      <c r="F33" s="110"/>
      <c r="G33" s="18">
        <f>SUM(G21:G32)</f>
        <v>102857060</v>
      </c>
      <c r="H33" s="18">
        <f>SUM(H21:H32)</f>
        <v>102857060</v>
      </c>
      <c r="I33" s="18">
        <f>SUM(I21:I32)</f>
        <v>0</v>
      </c>
      <c r="J33" s="18">
        <f>SUM(J21:J32)</f>
        <v>0</v>
      </c>
    </row>
    <row r="34" spans="1:10" ht="25.5">
      <c r="A34" s="5" t="s">
        <v>92</v>
      </c>
      <c r="B34" s="10" t="s">
        <v>93</v>
      </c>
      <c r="C34" s="7" t="s">
        <v>94</v>
      </c>
      <c r="D34" s="22"/>
      <c r="E34" s="22"/>
      <c r="F34" s="22"/>
      <c r="G34" s="11">
        <v>0</v>
      </c>
      <c r="H34" s="11"/>
      <c r="I34" s="9"/>
      <c r="J34" s="9"/>
    </row>
    <row r="35" spans="1:10" ht="25.5">
      <c r="A35" s="5" t="s">
        <v>95</v>
      </c>
      <c r="B35" s="10" t="s">
        <v>96</v>
      </c>
      <c r="C35" s="7" t="s">
        <v>97</v>
      </c>
      <c r="D35" s="22"/>
      <c r="E35" s="22"/>
      <c r="F35" s="22"/>
      <c r="G35" s="11">
        <v>12460000</v>
      </c>
      <c r="H35" s="11">
        <v>12460000</v>
      </c>
      <c r="I35" s="9"/>
      <c r="J35" s="9"/>
    </row>
    <row r="36" spans="1:10" ht="25.5">
      <c r="A36" s="13" t="s">
        <v>98</v>
      </c>
      <c r="B36" s="14" t="s">
        <v>99</v>
      </c>
      <c r="C36" s="23" t="s">
        <v>100</v>
      </c>
      <c r="D36" s="23"/>
      <c r="E36" s="23"/>
      <c r="F36" s="23"/>
      <c r="G36" s="18">
        <f>SUM(G34:G35)</f>
        <v>12460000</v>
      </c>
      <c r="H36" s="18">
        <f>SUM(H35)</f>
        <v>12460000</v>
      </c>
      <c r="I36" s="18">
        <f>SUM(I35)</f>
        <v>0</v>
      </c>
      <c r="J36" s="18">
        <f>SUM(J35)</f>
        <v>0</v>
      </c>
    </row>
    <row r="37" spans="1:10" ht="38.25">
      <c r="A37" s="5" t="s">
        <v>101</v>
      </c>
      <c r="B37" s="10" t="s">
        <v>102</v>
      </c>
      <c r="C37" s="7" t="s">
        <v>103</v>
      </c>
      <c r="D37" s="22"/>
      <c r="E37" s="22"/>
      <c r="F37" s="22"/>
      <c r="G37" s="11">
        <v>1650000</v>
      </c>
      <c r="H37" s="11">
        <v>0</v>
      </c>
      <c r="I37" s="11">
        <f aca="true" t="shared" si="2" ref="I37:I43">G37</f>
        <v>1650000</v>
      </c>
      <c r="J37" s="9"/>
    </row>
    <row r="38" spans="1:10" ht="38.25">
      <c r="A38" s="5" t="s">
        <v>104</v>
      </c>
      <c r="B38" s="10" t="s">
        <v>105</v>
      </c>
      <c r="C38" s="7" t="s">
        <v>106</v>
      </c>
      <c r="D38" s="22"/>
      <c r="E38" s="22"/>
      <c r="F38" s="22"/>
      <c r="G38" s="11">
        <v>26010336</v>
      </c>
      <c r="H38" s="11">
        <v>0</v>
      </c>
      <c r="I38" s="11">
        <f t="shared" si="2"/>
        <v>26010336</v>
      </c>
      <c r="J38" s="9"/>
    </row>
    <row r="39" spans="1:10" ht="15">
      <c r="A39" s="5" t="s">
        <v>107</v>
      </c>
      <c r="B39" s="10" t="s">
        <v>108</v>
      </c>
      <c r="C39" s="7" t="s">
        <v>109</v>
      </c>
      <c r="D39" s="22"/>
      <c r="E39" s="22"/>
      <c r="F39" s="22"/>
      <c r="G39" s="11">
        <f>15000000+2000000+785000+15000000+4438089</f>
        <v>37223089</v>
      </c>
      <c r="H39" s="11">
        <f>G39</f>
        <v>37223089</v>
      </c>
      <c r="I39" s="11">
        <f t="shared" si="2"/>
        <v>37223089</v>
      </c>
      <c r="J39" s="9"/>
    </row>
    <row r="40" spans="1:10" ht="25.5">
      <c r="A40" s="13" t="s">
        <v>110</v>
      </c>
      <c r="B40" s="24" t="s">
        <v>111</v>
      </c>
      <c r="C40" s="23" t="s">
        <v>112</v>
      </c>
      <c r="D40" s="23"/>
      <c r="E40" s="23"/>
      <c r="F40" s="23"/>
      <c r="G40" s="18">
        <f>SUM(G37:G39)</f>
        <v>64883425</v>
      </c>
      <c r="H40" s="18"/>
      <c r="I40" s="18">
        <f t="shared" si="2"/>
        <v>64883425</v>
      </c>
      <c r="J40" s="18"/>
    </row>
    <row r="41" spans="1:10" ht="25.5">
      <c r="A41" s="25" t="s">
        <v>113</v>
      </c>
      <c r="B41" s="26" t="s">
        <v>114</v>
      </c>
      <c r="C41" s="27" t="s">
        <v>115</v>
      </c>
      <c r="D41" s="27"/>
      <c r="E41" s="27"/>
      <c r="F41" s="27"/>
      <c r="G41" s="28">
        <v>56613308</v>
      </c>
      <c r="H41" s="28">
        <v>0</v>
      </c>
      <c r="I41" s="29">
        <f t="shared" si="2"/>
        <v>56613308</v>
      </c>
      <c r="J41" s="9"/>
    </row>
    <row r="42" spans="1:10" ht="25.5">
      <c r="A42" s="25" t="s">
        <v>116</v>
      </c>
      <c r="B42" s="10" t="s">
        <v>117</v>
      </c>
      <c r="C42" s="7" t="s">
        <v>118</v>
      </c>
      <c r="D42" s="22"/>
      <c r="E42" s="22"/>
      <c r="F42" s="22"/>
      <c r="G42" s="11">
        <f>22355211+1500000</f>
        <v>23855211</v>
      </c>
      <c r="H42" s="11">
        <v>0</v>
      </c>
      <c r="I42" s="29">
        <f t="shared" si="2"/>
        <v>23855211</v>
      </c>
      <c r="J42" s="9"/>
    </row>
    <row r="43" spans="1:10" ht="38.25">
      <c r="A43" s="25" t="s">
        <v>119</v>
      </c>
      <c r="B43" s="10" t="s">
        <v>120</v>
      </c>
      <c r="C43" s="7" t="s">
        <v>121</v>
      </c>
      <c r="D43" s="22"/>
      <c r="E43" s="22"/>
      <c r="F43" s="22"/>
      <c r="G43" s="11">
        <v>21321500</v>
      </c>
      <c r="H43" s="11">
        <v>0</v>
      </c>
      <c r="I43" s="29">
        <f t="shared" si="2"/>
        <v>21321500</v>
      </c>
      <c r="J43" s="9"/>
    </row>
    <row r="44" spans="1:10" ht="15">
      <c r="A44" s="13" t="s">
        <v>122</v>
      </c>
      <c r="B44" s="14" t="s">
        <v>123</v>
      </c>
      <c r="C44" s="23" t="s">
        <v>124</v>
      </c>
      <c r="D44" s="23"/>
      <c r="E44" s="23"/>
      <c r="F44" s="23"/>
      <c r="G44" s="18">
        <f>SUM(G41:G43)</f>
        <v>101790019</v>
      </c>
      <c r="H44" s="18">
        <f>SUM(H41:H43)</f>
        <v>0</v>
      </c>
      <c r="I44" s="18">
        <f>SUM(I41:I43)</f>
        <v>101790019</v>
      </c>
      <c r="J44" s="18"/>
    </row>
    <row r="45" spans="1:10" ht="15">
      <c r="A45" s="5" t="s">
        <v>125</v>
      </c>
      <c r="B45" s="10" t="s">
        <v>126</v>
      </c>
      <c r="C45" s="7" t="s">
        <v>127</v>
      </c>
      <c r="D45" s="22"/>
      <c r="E45" s="22"/>
      <c r="F45" s="22"/>
      <c r="G45" s="11">
        <v>22266272</v>
      </c>
      <c r="H45" s="11"/>
      <c r="I45" s="29">
        <f>G45</f>
        <v>22266272</v>
      </c>
      <c r="J45" s="9"/>
    </row>
    <row r="46" spans="1:10" ht="38.25">
      <c r="A46" s="5" t="s">
        <v>128</v>
      </c>
      <c r="B46" s="10" t="s">
        <v>129</v>
      </c>
      <c r="C46" s="7" t="s">
        <v>130</v>
      </c>
      <c r="D46" s="7"/>
      <c r="E46" s="7"/>
      <c r="F46" s="7"/>
      <c r="G46" s="11">
        <v>6011893</v>
      </c>
      <c r="H46" s="11"/>
      <c r="I46" s="29">
        <f>G46</f>
        <v>6011893</v>
      </c>
      <c r="J46" s="9"/>
    </row>
    <row r="47" spans="1:10" ht="15">
      <c r="A47" s="13" t="s">
        <v>131</v>
      </c>
      <c r="B47" s="14" t="s">
        <v>132</v>
      </c>
      <c r="C47" s="23" t="s">
        <v>133</v>
      </c>
      <c r="D47" s="23"/>
      <c r="E47" s="23"/>
      <c r="F47" s="23"/>
      <c r="G47" s="18">
        <f>SUM(G45:G46)</f>
        <v>28278165</v>
      </c>
      <c r="H47" s="18">
        <f>SUM(H45:H46)</f>
        <v>0</v>
      </c>
      <c r="I47" s="18">
        <f>SUM(I45:I46)</f>
        <v>28278165</v>
      </c>
      <c r="J47" s="18">
        <f>SUM(J45:J46)</f>
        <v>0</v>
      </c>
    </row>
    <row r="48" spans="1:10" ht="51">
      <c r="A48" s="5" t="s">
        <v>134</v>
      </c>
      <c r="B48" s="10" t="s">
        <v>135</v>
      </c>
      <c r="C48" s="7" t="s">
        <v>136</v>
      </c>
      <c r="D48" s="7"/>
      <c r="E48" s="7"/>
      <c r="F48" s="7"/>
      <c r="G48" s="11">
        <f>'[1]Támogatás'!$D$52</f>
        <v>6000000</v>
      </c>
      <c r="H48" s="11">
        <f>G48</f>
        <v>6000000</v>
      </c>
      <c r="I48" s="9"/>
      <c r="J48" s="9"/>
    </row>
    <row r="49" spans="1:10" ht="25.5">
      <c r="A49" s="13" t="s">
        <v>137</v>
      </c>
      <c r="B49" s="14" t="s">
        <v>138</v>
      </c>
      <c r="C49" s="23" t="s">
        <v>139</v>
      </c>
      <c r="D49" s="23"/>
      <c r="E49" s="23"/>
      <c r="F49" s="23"/>
      <c r="G49" s="18">
        <f>SUM(G48)</f>
        <v>6000000</v>
      </c>
      <c r="H49" s="18">
        <f>SUM(H48)</f>
        <v>6000000</v>
      </c>
      <c r="I49" s="18">
        <f>SUM(I48)</f>
        <v>0</v>
      </c>
      <c r="J49" s="18">
        <f>SUM(J48)</f>
        <v>0</v>
      </c>
    </row>
    <row r="50" spans="1:10" ht="15">
      <c r="A50" s="13" t="s">
        <v>140</v>
      </c>
      <c r="B50" s="30" t="s">
        <v>141</v>
      </c>
      <c r="C50" s="110" t="s">
        <v>142</v>
      </c>
      <c r="D50" s="110"/>
      <c r="E50" s="110"/>
      <c r="F50" s="110"/>
      <c r="G50" s="18">
        <f>G19+G20+G33+G36+G40+G44+G47+G49</f>
        <v>427314681</v>
      </c>
      <c r="H50" s="18">
        <f>H19+H20+H33+H36+H40+H44+H47+H49</f>
        <v>232363072</v>
      </c>
      <c r="I50" s="18">
        <f>I19+I20+I33+I36+I40+I44+I47+I49</f>
        <v>194951609</v>
      </c>
      <c r="J50" s="18">
        <f>J19+J20+J33+J36+J40+J44+J47+J49</f>
        <v>0</v>
      </c>
    </row>
    <row r="51" spans="1:10" ht="15">
      <c r="A51" s="31"/>
      <c r="B51" s="2"/>
      <c r="C51" s="2"/>
      <c r="D51" s="2"/>
      <c r="E51" s="2"/>
      <c r="F51" s="2"/>
      <c r="G51" s="32"/>
      <c r="H51" s="32"/>
      <c r="I51" s="2"/>
      <c r="J51" s="2"/>
    </row>
    <row r="52" spans="1:10" ht="15">
      <c r="A52" s="123" t="s">
        <v>143</v>
      </c>
      <c r="B52" s="123"/>
      <c r="C52" s="123"/>
      <c r="D52" s="123"/>
      <c r="E52" s="123"/>
      <c r="F52" s="123"/>
      <c r="G52" s="123"/>
      <c r="H52" s="123"/>
      <c r="I52" s="33"/>
      <c r="J52" s="33"/>
    </row>
    <row r="53" spans="1:10" ht="15">
      <c r="A53" s="112" t="s">
        <v>3</v>
      </c>
      <c r="B53" s="113" t="s">
        <v>4</v>
      </c>
      <c r="C53" s="114" t="s">
        <v>5</v>
      </c>
      <c r="D53" s="114"/>
      <c r="E53" s="114"/>
      <c r="F53" s="114"/>
      <c r="G53" s="115" t="s">
        <v>144</v>
      </c>
      <c r="H53" s="34"/>
      <c r="I53" s="3"/>
      <c r="J53" s="3"/>
    </row>
    <row r="54" spans="1:10" ht="15">
      <c r="A54" s="112"/>
      <c r="B54" s="113"/>
      <c r="C54" s="114"/>
      <c r="D54" s="114"/>
      <c r="E54" s="114"/>
      <c r="F54" s="114"/>
      <c r="G54" s="115"/>
      <c r="H54" s="35"/>
      <c r="I54" s="2"/>
      <c r="J54" s="2"/>
    </row>
    <row r="55" spans="1:10" ht="38.25">
      <c r="A55" s="5" t="s">
        <v>140</v>
      </c>
      <c r="B55" s="19" t="s">
        <v>145</v>
      </c>
      <c r="C55" s="106" t="s">
        <v>146</v>
      </c>
      <c r="D55" s="106"/>
      <c r="E55" s="106"/>
      <c r="F55" s="106"/>
      <c r="G55" s="8">
        <v>17096991</v>
      </c>
      <c r="H55" s="8">
        <v>17096991</v>
      </c>
      <c r="I55" s="36"/>
      <c r="J55" s="36"/>
    </row>
    <row r="56" spans="1:10" ht="25.5">
      <c r="A56" s="5" t="s">
        <v>147</v>
      </c>
      <c r="B56" s="19" t="s">
        <v>148</v>
      </c>
      <c r="C56" s="106" t="s">
        <v>149</v>
      </c>
      <c r="D56" s="106"/>
      <c r="E56" s="106"/>
      <c r="F56" s="106"/>
      <c r="G56" s="8">
        <f>'[2]hivatal bev.'!G43+'[2]óvoda bev.'!G43+'[2]bölcsőde bev.'!G43+'[2]könyvtár bev.'!G43</f>
        <v>398515789.99</v>
      </c>
      <c r="H56" s="8">
        <f>G56</f>
        <v>398515789.99</v>
      </c>
      <c r="I56" s="37"/>
      <c r="J56" s="36"/>
    </row>
    <row r="57" spans="1:10" ht="15">
      <c r="A57" s="13" t="s">
        <v>150</v>
      </c>
      <c r="B57" s="30" t="s">
        <v>151</v>
      </c>
      <c r="C57" s="110" t="s">
        <v>152</v>
      </c>
      <c r="D57" s="110"/>
      <c r="E57" s="110"/>
      <c r="F57" s="110"/>
      <c r="G57" s="18">
        <f>SUM(G55:G56)</f>
        <v>415612780.99</v>
      </c>
      <c r="H57" s="18">
        <f>SUM(H55:H56)</f>
        <v>415612780.99</v>
      </c>
      <c r="I57" s="36"/>
      <c r="J57" s="36"/>
    </row>
    <row r="58" spans="1:10" ht="15">
      <c r="A58" s="38"/>
      <c r="B58" s="2"/>
      <c r="C58" s="2"/>
      <c r="D58" s="2"/>
      <c r="E58" s="2"/>
      <c r="F58" s="2"/>
      <c r="G58" s="32"/>
      <c r="H58" s="32"/>
      <c r="I58" s="2"/>
      <c r="J58" s="2"/>
    </row>
    <row r="59" spans="1:10" ht="15">
      <c r="A59" s="39"/>
      <c r="B59" s="40" t="s">
        <v>153</v>
      </c>
      <c r="C59" s="108"/>
      <c r="D59" s="108"/>
      <c r="E59" s="108"/>
      <c r="F59" s="108"/>
      <c r="G59" s="42">
        <f>G50+G57</f>
        <v>842927461.99</v>
      </c>
      <c r="H59" s="42"/>
      <c r="I59" s="2"/>
      <c r="J59" s="2"/>
    </row>
  </sheetData>
  <sheetProtection/>
  <mergeCells count="36">
    <mergeCell ref="A1:H1"/>
    <mergeCell ref="A3:H3"/>
    <mergeCell ref="A4:H4"/>
    <mergeCell ref="A5:A6"/>
    <mergeCell ref="B5:B6"/>
    <mergeCell ref="C5:F6"/>
    <mergeCell ref="G5:G6"/>
    <mergeCell ref="H5:J5"/>
    <mergeCell ref="C7:F7"/>
    <mergeCell ref="C11:F11"/>
    <mergeCell ref="C13:F13"/>
    <mergeCell ref="C16:F16"/>
    <mergeCell ref="C17:F17"/>
    <mergeCell ref="C18:F18"/>
    <mergeCell ref="C19:F19"/>
    <mergeCell ref="C20:F20"/>
    <mergeCell ref="C21:F21"/>
    <mergeCell ref="C23:F23"/>
    <mergeCell ref="C24:F24"/>
    <mergeCell ref="C25:F25"/>
    <mergeCell ref="C26:F26"/>
    <mergeCell ref="C28:F28"/>
    <mergeCell ref="C29:F29"/>
    <mergeCell ref="C31:F31"/>
    <mergeCell ref="C32:F32"/>
    <mergeCell ref="C33:F33"/>
    <mergeCell ref="C55:F55"/>
    <mergeCell ref="C56:F56"/>
    <mergeCell ref="C57:F57"/>
    <mergeCell ref="C59:F59"/>
    <mergeCell ref="C50:F50"/>
    <mergeCell ref="A52:H52"/>
    <mergeCell ref="A53:A54"/>
    <mergeCell ref="B53:B54"/>
    <mergeCell ref="C53:F54"/>
    <mergeCell ref="G53:G5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">
      <selection activeCell="M7" sqref="M7"/>
    </sheetView>
  </sheetViews>
  <sheetFormatPr defaultColWidth="9.140625" defaultRowHeight="15"/>
  <cols>
    <col min="2" max="2" width="16.00390625" style="0" bestFit="1" customWidth="1"/>
    <col min="7" max="7" width="15.8515625" style="0" bestFit="1" customWidth="1"/>
    <col min="8" max="8" width="11.421875" style="0" customWidth="1"/>
    <col min="9" max="9" width="12.57421875" style="0" customWidth="1"/>
  </cols>
  <sheetData>
    <row r="1" spans="1:10" ht="15">
      <c r="A1" s="119" t="s">
        <v>226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24" t="s">
        <v>227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155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25.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63.75">
      <c r="A7" s="5" t="s">
        <v>11</v>
      </c>
      <c r="B7" s="6" t="s">
        <v>156</v>
      </c>
      <c r="C7" s="106" t="s">
        <v>157</v>
      </c>
      <c r="D7" s="106"/>
      <c r="E7" s="106"/>
      <c r="F7" s="106"/>
      <c r="G7" s="8"/>
      <c r="H7" s="9"/>
      <c r="I7" s="9"/>
      <c r="J7" s="9"/>
    </row>
    <row r="8" spans="1:10" ht="63.75">
      <c r="A8" s="5" t="s">
        <v>14</v>
      </c>
      <c r="B8" s="10" t="s">
        <v>158</v>
      </c>
      <c r="C8" s="106" t="s">
        <v>159</v>
      </c>
      <c r="D8" s="106"/>
      <c r="E8" s="106"/>
      <c r="F8" s="106"/>
      <c r="G8" s="8"/>
      <c r="H8" s="9"/>
      <c r="I8" s="9"/>
      <c r="J8" s="9"/>
    </row>
    <row r="9" spans="1:10" ht="76.5">
      <c r="A9" s="5" t="s">
        <v>17</v>
      </c>
      <c r="B9" s="10" t="s">
        <v>160</v>
      </c>
      <c r="C9" s="106" t="s">
        <v>161</v>
      </c>
      <c r="D9" s="106"/>
      <c r="E9" s="106"/>
      <c r="F9" s="106"/>
      <c r="G9" s="8"/>
      <c r="H9" s="9"/>
      <c r="I9" s="9"/>
      <c r="J9" s="9"/>
    </row>
    <row r="10" spans="1:10" ht="63.7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89.25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63.75">
      <c r="A12" s="5" t="s">
        <v>26</v>
      </c>
      <c r="B12" s="10" t="s">
        <v>166</v>
      </c>
      <c r="C12" s="106" t="s">
        <v>167</v>
      </c>
      <c r="D12" s="106"/>
      <c r="E12" s="106"/>
      <c r="F12" s="106"/>
      <c r="G12" s="8"/>
      <c r="H12" s="9"/>
      <c r="I12" s="9"/>
      <c r="J12" s="9"/>
    </row>
    <row r="13" spans="1:10" ht="25.5">
      <c r="A13" s="5" t="s">
        <v>29</v>
      </c>
      <c r="B13" s="10" t="s">
        <v>168</v>
      </c>
      <c r="C13" s="106" t="s">
        <v>169</v>
      </c>
      <c r="D13" s="106"/>
      <c r="E13" s="106"/>
      <c r="F13" s="106"/>
      <c r="G13" s="8"/>
      <c r="H13" s="9"/>
      <c r="I13" s="9"/>
      <c r="J13" s="9"/>
    </row>
    <row r="14" spans="1:10" ht="63.75">
      <c r="A14" s="5" t="s">
        <v>32</v>
      </c>
      <c r="B14" s="10" t="s">
        <v>170</v>
      </c>
      <c r="C14" s="106" t="s">
        <v>171</v>
      </c>
      <c r="D14" s="106"/>
      <c r="E14" s="106"/>
      <c r="F14" s="106"/>
      <c r="G14" s="8"/>
      <c r="H14" s="9"/>
      <c r="I14" s="9"/>
      <c r="J14" s="9"/>
    </row>
    <row r="15" spans="1:10" ht="63.75">
      <c r="A15" s="13" t="s">
        <v>35</v>
      </c>
      <c r="B15" s="14" t="s">
        <v>172</v>
      </c>
      <c r="C15" s="110" t="s">
        <v>173</v>
      </c>
      <c r="D15" s="110"/>
      <c r="E15" s="110"/>
      <c r="F15" s="110"/>
      <c r="G15" s="18"/>
      <c r="H15" s="17"/>
      <c r="I15" s="17"/>
      <c r="J15" s="17"/>
    </row>
    <row r="16" spans="1:10" ht="63.75">
      <c r="A16" s="5" t="s">
        <v>38</v>
      </c>
      <c r="B16" s="10" t="s">
        <v>174</v>
      </c>
      <c r="C16" s="106" t="s">
        <v>175</v>
      </c>
      <c r="D16" s="106"/>
      <c r="E16" s="106"/>
      <c r="F16" s="106"/>
      <c r="G16" s="8"/>
      <c r="H16" s="12"/>
      <c r="I16" s="12"/>
      <c r="J16" s="12"/>
    </row>
    <row r="17" spans="1:10" ht="63.75">
      <c r="A17" s="13" t="s">
        <v>41</v>
      </c>
      <c r="B17" s="14" t="s">
        <v>176</v>
      </c>
      <c r="C17" s="110" t="s">
        <v>177</v>
      </c>
      <c r="D17" s="110"/>
      <c r="E17" s="110"/>
      <c r="F17" s="110"/>
      <c r="G17" s="18"/>
      <c r="H17" s="17"/>
      <c r="I17" s="17"/>
      <c r="J17" s="17"/>
    </row>
    <row r="18" spans="1:10" ht="25.5">
      <c r="A18" s="5" t="s">
        <v>44</v>
      </c>
      <c r="B18" s="10" t="s">
        <v>178</v>
      </c>
      <c r="C18" s="106" t="s">
        <v>179</v>
      </c>
      <c r="D18" s="106"/>
      <c r="E18" s="106"/>
      <c r="F18" s="106"/>
      <c r="G18" s="8"/>
      <c r="H18" s="9"/>
      <c r="I18" s="9"/>
      <c r="J18" s="9"/>
    </row>
    <row r="19" spans="1:10" ht="25.5">
      <c r="A19" s="5" t="s">
        <v>47</v>
      </c>
      <c r="B19" s="10" t="s">
        <v>180</v>
      </c>
      <c r="C19" s="106" t="s">
        <v>181</v>
      </c>
      <c r="D19" s="106"/>
      <c r="E19" s="106"/>
      <c r="F19" s="106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106" t="s">
        <v>183</v>
      </c>
      <c r="D20" s="106"/>
      <c r="E20" s="106"/>
      <c r="F20" s="106"/>
      <c r="G20" s="8"/>
      <c r="H20" s="9"/>
      <c r="I20" s="9"/>
      <c r="J20" s="9"/>
    </row>
    <row r="21" spans="1:10" ht="25.5">
      <c r="A21" s="5" t="s">
        <v>53</v>
      </c>
      <c r="B21" s="10" t="s">
        <v>184</v>
      </c>
      <c r="C21" s="106" t="s">
        <v>185</v>
      </c>
      <c r="D21" s="106"/>
      <c r="E21" s="106"/>
      <c r="F21" s="106"/>
      <c r="G21" s="8"/>
      <c r="H21" s="9"/>
      <c r="I21" s="9"/>
      <c r="J21" s="9"/>
    </row>
    <row r="22" spans="1:10" ht="38.25">
      <c r="A22" s="13" t="s">
        <v>56</v>
      </c>
      <c r="B22" s="14" t="s">
        <v>186</v>
      </c>
      <c r="C22" s="110" t="s">
        <v>187</v>
      </c>
      <c r="D22" s="110"/>
      <c r="E22" s="110"/>
      <c r="F22" s="110"/>
      <c r="G22" s="18"/>
      <c r="H22" s="17"/>
      <c r="I22" s="17"/>
      <c r="J22" s="17"/>
    </row>
    <row r="23" spans="1:10" ht="25.5">
      <c r="A23" s="5" t="s">
        <v>59</v>
      </c>
      <c r="B23" s="19" t="s">
        <v>188</v>
      </c>
      <c r="C23" s="106" t="s">
        <v>189</v>
      </c>
      <c r="D23" s="106"/>
      <c r="E23" s="106"/>
      <c r="F23" s="106"/>
      <c r="G23" s="8"/>
      <c r="H23" s="9"/>
      <c r="I23" s="9"/>
      <c r="J23" s="9"/>
    </row>
    <row r="24" spans="1:10" ht="25.5">
      <c r="A24" s="5" t="s">
        <v>62</v>
      </c>
      <c r="B24" s="19" t="s">
        <v>190</v>
      </c>
      <c r="C24" s="106" t="s">
        <v>191</v>
      </c>
      <c r="D24" s="106"/>
      <c r="E24" s="106"/>
      <c r="F24" s="106"/>
      <c r="G24" s="8"/>
      <c r="H24" s="9"/>
      <c r="I24" s="9"/>
      <c r="J24" s="9"/>
    </row>
    <row r="25" spans="1:10" ht="38.25">
      <c r="A25" s="5" t="s">
        <v>65</v>
      </c>
      <c r="B25" s="19" t="s">
        <v>192</v>
      </c>
      <c r="C25" s="106" t="s">
        <v>193</v>
      </c>
      <c r="D25" s="106"/>
      <c r="E25" s="106"/>
      <c r="F25" s="106"/>
      <c r="G25" s="8"/>
      <c r="H25" s="9"/>
      <c r="I25" s="12"/>
      <c r="J25" s="9"/>
    </row>
    <row r="26" spans="1:10" ht="25.5">
      <c r="A26" s="5" t="s">
        <v>68</v>
      </c>
      <c r="B26" s="19" t="s">
        <v>194</v>
      </c>
      <c r="C26" s="106" t="s">
        <v>195</v>
      </c>
      <c r="D26" s="106"/>
      <c r="E26" s="106"/>
      <c r="F26" s="106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106" t="s">
        <v>197</v>
      </c>
      <c r="D27" s="106"/>
      <c r="E27" s="106"/>
      <c r="F27" s="106"/>
      <c r="G27" s="8"/>
      <c r="H27" s="9"/>
      <c r="I27" s="9"/>
      <c r="J27" s="9"/>
    </row>
    <row r="28" spans="1:10" ht="38.25">
      <c r="A28" s="5" t="s">
        <v>74</v>
      </c>
      <c r="B28" s="19" t="s">
        <v>198</v>
      </c>
      <c r="C28" s="106" t="s">
        <v>199</v>
      </c>
      <c r="D28" s="106"/>
      <c r="E28" s="106"/>
      <c r="F28" s="106"/>
      <c r="G28" s="8"/>
      <c r="H28" s="9"/>
      <c r="I28" s="9"/>
      <c r="J28" s="9"/>
    </row>
    <row r="29" spans="1:10" ht="38.25">
      <c r="A29" s="13" t="s">
        <v>77</v>
      </c>
      <c r="B29" s="48" t="s">
        <v>200</v>
      </c>
      <c r="C29" s="110" t="s">
        <v>201</v>
      </c>
      <c r="D29" s="110"/>
      <c r="E29" s="110"/>
      <c r="F29" s="110"/>
      <c r="G29" s="18"/>
      <c r="H29" s="17"/>
      <c r="I29" s="17"/>
      <c r="J29" s="17"/>
    </row>
    <row r="30" spans="1:10" ht="25.5">
      <c r="A30" s="5" t="s">
        <v>80</v>
      </c>
      <c r="B30" s="21" t="s">
        <v>202</v>
      </c>
      <c r="C30" s="7" t="s">
        <v>203</v>
      </c>
      <c r="D30" s="22"/>
      <c r="E30" s="22"/>
      <c r="F30" s="22"/>
      <c r="G30" s="59"/>
      <c r="H30" s="9"/>
      <c r="I30" s="9"/>
      <c r="J30" s="9"/>
    </row>
    <row r="31" spans="1:10" ht="25.5">
      <c r="A31" s="13" t="s">
        <v>83</v>
      </c>
      <c r="B31" s="48" t="s">
        <v>204</v>
      </c>
      <c r="C31" s="23" t="s">
        <v>203</v>
      </c>
      <c r="D31" s="23"/>
      <c r="E31" s="23"/>
      <c r="F31" s="23"/>
      <c r="G31" s="18"/>
      <c r="H31" s="17"/>
      <c r="I31" s="17"/>
      <c r="J31" s="17"/>
    </row>
    <row r="32" spans="1:10" ht="89.25">
      <c r="A32" s="5" t="s">
        <v>86</v>
      </c>
      <c r="B32" s="10" t="s">
        <v>206</v>
      </c>
      <c r="C32" s="106" t="s">
        <v>207</v>
      </c>
      <c r="D32" s="106"/>
      <c r="E32" s="106"/>
      <c r="F32" s="106"/>
      <c r="G32" s="8"/>
      <c r="H32" s="9"/>
      <c r="I32" s="9"/>
      <c r="J32" s="9"/>
    </row>
    <row r="33" spans="1:10" ht="51">
      <c r="A33" s="13" t="s">
        <v>89</v>
      </c>
      <c r="B33" s="14" t="s">
        <v>208</v>
      </c>
      <c r="C33" s="110" t="s">
        <v>209</v>
      </c>
      <c r="D33" s="110"/>
      <c r="E33" s="110"/>
      <c r="F33" s="110"/>
      <c r="G33" s="18"/>
      <c r="H33" s="17"/>
      <c r="I33" s="17"/>
      <c r="J33" s="17"/>
    </row>
    <row r="34" spans="1:10" ht="38.25">
      <c r="A34" s="5" t="s">
        <v>92</v>
      </c>
      <c r="B34" s="10" t="s">
        <v>210</v>
      </c>
      <c r="C34" s="22" t="s">
        <v>211</v>
      </c>
      <c r="D34" s="22"/>
      <c r="E34" s="22"/>
      <c r="F34" s="22"/>
      <c r="G34" s="59"/>
      <c r="H34" s="9"/>
      <c r="I34" s="9"/>
      <c r="J34" s="9"/>
    </row>
    <row r="35" spans="1:10" ht="38.25">
      <c r="A35" s="13" t="s">
        <v>95</v>
      </c>
      <c r="B35" s="14" t="s">
        <v>212</v>
      </c>
      <c r="C35" s="110" t="s">
        <v>213</v>
      </c>
      <c r="D35" s="110"/>
      <c r="E35" s="110"/>
      <c r="F35" s="110"/>
      <c r="G35" s="18"/>
      <c r="H35" s="60"/>
      <c r="I35" s="60"/>
      <c r="J35" s="60"/>
    </row>
    <row r="36" spans="1:10" ht="51">
      <c r="A36" s="13" t="s">
        <v>98</v>
      </c>
      <c r="B36" s="30" t="s">
        <v>214</v>
      </c>
      <c r="C36" s="110" t="s">
        <v>215</v>
      </c>
      <c r="D36" s="110"/>
      <c r="E36" s="110"/>
      <c r="F36" s="110"/>
      <c r="G36" s="18">
        <f>G15+G17+G22+G29+G33+G35</f>
        <v>0</v>
      </c>
      <c r="H36" s="16"/>
      <c r="I36" s="16"/>
      <c r="J36" s="17"/>
    </row>
    <row r="37" spans="1:10" ht="15">
      <c r="A37" s="31"/>
      <c r="B37" s="2"/>
      <c r="C37" s="2"/>
      <c r="D37" s="2"/>
      <c r="E37" s="2"/>
      <c r="F37" s="2"/>
      <c r="G37" s="32"/>
      <c r="H37" s="2"/>
      <c r="I37" s="2"/>
      <c r="J37" s="2"/>
    </row>
    <row r="38" spans="1:10" ht="15">
      <c r="A38" s="123" t="s">
        <v>228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>
      <c r="A39" s="112" t="s">
        <v>3</v>
      </c>
      <c r="B39" s="113" t="s">
        <v>4</v>
      </c>
      <c r="C39" s="114" t="s">
        <v>5</v>
      </c>
      <c r="D39" s="114"/>
      <c r="E39" s="114"/>
      <c r="F39" s="114"/>
      <c r="G39" s="115" t="s">
        <v>144</v>
      </c>
      <c r="H39" s="116" t="s">
        <v>7</v>
      </c>
      <c r="I39" s="117"/>
      <c r="J39" s="118"/>
    </row>
    <row r="40" spans="1:10" ht="25.5">
      <c r="A40" s="112"/>
      <c r="B40" s="113"/>
      <c r="C40" s="114"/>
      <c r="D40" s="114"/>
      <c r="E40" s="114"/>
      <c r="F40" s="114"/>
      <c r="G40" s="115"/>
      <c r="H40" s="4" t="s">
        <v>8</v>
      </c>
      <c r="I40" s="4" t="s">
        <v>9</v>
      </c>
      <c r="J40" s="4" t="s">
        <v>10</v>
      </c>
    </row>
    <row r="41" spans="1:10" ht="51">
      <c r="A41" s="5" t="s">
        <v>101</v>
      </c>
      <c r="B41" s="19" t="s">
        <v>217</v>
      </c>
      <c r="C41" s="106" t="s">
        <v>218</v>
      </c>
      <c r="D41" s="106"/>
      <c r="E41" s="106"/>
      <c r="F41" s="106"/>
      <c r="G41" s="8">
        <f>1001680+28580</f>
        <v>1030260</v>
      </c>
      <c r="H41" s="8">
        <v>0</v>
      </c>
      <c r="I41" s="61">
        <f>G41</f>
        <v>1030260</v>
      </c>
      <c r="J41" s="12"/>
    </row>
    <row r="42" spans="1:10" ht="25.5">
      <c r="A42" s="5" t="s">
        <v>104</v>
      </c>
      <c r="B42" s="19" t="s">
        <v>219</v>
      </c>
      <c r="C42" s="106" t="s">
        <v>220</v>
      </c>
      <c r="D42" s="106"/>
      <c r="E42" s="106"/>
      <c r="F42" s="106"/>
      <c r="G42" s="8"/>
      <c r="H42" s="12"/>
      <c r="I42" s="12"/>
      <c r="J42" s="12"/>
    </row>
    <row r="43" spans="1:10" ht="25.5">
      <c r="A43" s="5" t="s">
        <v>107</v>
      </c>
      <c r="B43" s="19" t="s">
        <v>221</v>
      </c>
      <c r="C43" s="53" t="s">
        <v>222</v>
      </c>
      <c r="D43" s="54"/>
      <c r="E43" s="54"/>
      <c r="F43" s="55"/>
      <c r="G43" s="8">
        <f>'[2]bev.össz..'!L45-G41</f>
        <v>144687211</v>
      </c>
      <c r="H43" s="8"/>
      <c r="I43" s="12"/>
      <c r="J43" s="12"/>
    </row>
    <row r="44" spans="1:10" ht="25.5">
      <c r="A44" s="13" t="s">
        <v>110</v>
      </c>
      <c r="B44" s="30" t="s">
        <v>223</v>
      </c>
      <c r="C44" s="107" t="s">
        <v>224</v>
      </c>
      <c r="D44" s="108"/>
      <c r="E44" s="108"/>
      <c r="F44" s="109"/>
      <c r="G44" s="18">
        <f>SUM(G41:G43)</f>
        <v>145717471</v>
      </c>
      <c r="H44" s="18">
        <f>SUM(H41:H43)</f>
        <v>0</v>
      </c>
      <c r="I44" s="17"/>
      <c r="J44" s="17"/>
    </row>
    <row r="45" spans="1:10" ht="15">
      <c r="A45" s="38"/>
      <c r="B45" s="2"/>
      <c r="C45" s="2"/>
      <c r="D45" s="2"/>
      <c r="E45" s="2"/>
      <c r="F45" s="2"/>
      <c r="G45" s="32"/>
      <c r="H45" s="2"/>
      <c r="I45" s="2"/>
      <c r="J45" s="2"/>
    </row>
    <row r="46" spans="1:10" ht="25.5">
      <c r="A46" s="39"/>
      <c r="B46" s="40" t="s">
        <v>225</v>
      </c>
      <c r="C46" s="108"/>
      <c r="D46" s="108"/>
      <c r="E46" s="108"/>
      <c r="F46" s="108"/>
      <c r="G46" s="42">
        <f>G36+G44</f>
        <v>145717471</v>
      </c>
      <c r="H46" s="42"/>
      <c r="I46" s="62"/>
      <c r="J46" s="63"/>
    </row>
  </sheetData>
  <sheetProtection/>
  <mergeCells count="43"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57421875" style="0" customWidth="1"/>
    <col min="2" max="2" width="16.00390625" style="0" bestFit="1" customWidth="1"/>
    <col min="7" max="7" width="20.421875" style="0" bestFit="1" customWidth="1"/>
    <col min="8" max="8" width="10.8515625" style="0" bestFit="1" customWidth="1"/>
    <col min="10" max="10" width="6.28125" style="0" bestFit="1" customWidth="1"/>
  </cols>
  <sheetData>
    <row r="1" spans="1:10" ht="15">
      <c r="A1" s="119" t="s">
        <v>229</v>
      </c>
      <c r="B1" s="119"/>
      <c r="C1" s="119"/>
      <c r="D1" s="119"/>
      <c r="E1" s="119"/>
      <c r="F1" s="119"/>
      <c r="G1" s="119"/>
      <c r="H1" s="119"/>
      <c r="I1" s="2"/>
      <c r="J1" s="2"/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">
      <c r="A3" s="124" t="s">
        <v>230</v>
      </c>
      <c r="B3" s="124"/>
      <c r="C3" s="124"/>
      <c r="D3" s="124"/>
      <c r="E3" s="124"/>
      <c r="F3" s="124"/>
      <c r="G3" s="124"/>
      <c r="H3" s="124"/>
      <c r="I3" s="3"/>
      <c r="J3" s="3"/>
    </row>
    <row r="4" spans="1:10" ht="15">
      <c r="A4" s="125" t="s">
        <v>2</v>
      </c>
      <c r="B4" s="126"/>
      <c r="C4" s="126"/>
      <c r="D4" s="126"/>
      <c r="E4" s="126"/>
      <c r="F4" s="126"/>
      <c r="G4" s="126"/>
      <c r="H4" s="126"/>
      <c r="I4" s="3"/>
      <c r="J4" s="3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6</v>
      </c>
      <c r="H5" s="116" t="s">
        <v>7</v>
      </c>
      <c r="I5" s="117"/>
      <c r="J5" s="118"/>
    </row>
    <row r="6" spans="1:10" ht="38.2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38.25">
      <c r="A7" s="5" t="s">
        <v>11</v>
      </c>
      <c r="B7" s="6" t="s">
        <v>12</v>
      </c>
      <c r="C7" s="127" t="s">
        <v>13</v>
      </c>
      <c r="D7" s="128"/>
      <c r="E7" s="128"/>
      <c r="F7" s="129"/>
      <c r="G7" s="64">
        <v>99387859</v>
      </c>
      <c r="H7" s="8">
        <f>G7</f>
        <v>99387859</v>
      </c>
      <c r="I7" s="9"/>
      <c r="J7" s="9"/>
    </row>
    <row r="8" spans="1:10" ht="25.5">
      <c r="A8" s="5" t="s">
        <v>14</v>
      </c>
      <c r="B8" s="6" t="s">
        <v>15</v>
      </c>
      <c r="C8" s="7" t="s">
        <v>16</v>
      </c>
      <c r="D8" s="7"/>
      <c r="E8" s="7"/>
      <c r="F8" s="7"/>
      <c r="G8" s="64">
        <v>5202000</v>
      </c>
      <c r="H8" s="8">
        <f aca="true" t="shared" si="0" ref="H8:H18">G8</f>
        <v>5202000</v>
      </c>
      <c r="I8" s="9"/>
      <c r="J8" s="9"/>
    </row>
    <row r="9" spans="1:10" ht="51">
      <c r="A9" s="5" t="s">
        <v>17</v>
      </c>
      <c r="B9" s="6" t="s">
        <v>18</v>
      </c>
      <c r="C9" s="7" t="s">
        <v>19</v>
      </c>
      <c r="D9" s="7"/>
      <c r="E9" s="7"/>
      <c r="F9" s="7"/>
      <c r="G9" s="64">
        <v>407500</v>
      </c>
      <c r="H9" s="8">
        <f t="shared" si="0"/>
        <v>407500</v>
      </c>
      <c r="I9" s="9"/>
      <c r="J9" s="9"/>
    </row>
    <row r="10" spans="1:10" ht="15">
      <c r="A10" s="5" t="s">
        <v>20</v>
      </c>
      <c r="B10" s="6" t="s">
        <v>21</v>
      </c>
      <c r="C10" s="7" t="s">
        <v>22</v>
      </c>
      <c r="D10" s="7"/>
      <c r="E10" s="7"/>
      <c r="F10" s="7"/>
      <c r="G10" s="64">
        <v>2060000</v>
      </c>
      <c r="H10" s="8">
        <f t="shared" si="0"/>
        <v>2060000</v>
      </c>
      <c r="I10" s="9"/>
      <c r="J10" s="9"/>
    </row>
    <row r="11" spans="1:10" ht="25.5">
      <c r="A11" s="5" t="s">
        <v>23</v>
      </c>
      <c r="B11" s="10" t="s">
        <v>24</v>
      </c>
      <c r="C11" s="106" t="s">
        <v>25</v>
      </c>
      <c r="D11" s="106"/>
      <c r="E11" s="106"/>
      <c r="F11" s="106"/>
      <c r="G11" s="64">
        <v>4021203</v>
      </c>
      <c r="H11" s="8">
        <f t="shared" si="0"/>
        <v>4021203</v>
      </c>
      <c r="I11" s="9"/>
      <c r="J11" s="9"/>
    </row>
    <row r="12" spans="1:10" ht="25.5">
      <c r="A12" s="5" t="s">
        <v>26</v>
      </c>
      <c r="B12" s="10" t="s">
        <v>27</v>
      </c>
      <c r="C12" s="7" t="s">
        <v>28</v>
      </c>
      <c r="D12" s="7"/>
      <c r="E12" s="7"/>
      <c r="F12" s="7"/>
      <c r="G12" s="64">
        <v>0</v>
      </c>
      <c r="H12" s="8">
        <f t="shared" si="0"/>
        <v>0</v>
      </c>
      <c r="I12" s="9"/>
      <c r="J12" s="9"/>
    </row>
    <row r="13" spans="1:10" ht="25.5">
      <c r="A13" s="5" t="s">
        <v>29</v>
      </c>
      <c r="B13" s="10" t="s">
        <v>30</v>
      </c>
      <c r="C13" s="106" t="s">
        <v>31</v>
      </c>
      <c r="D13" s="106"/>
      <c r="E13" s="106"/>
      <c r="F13" s="106"/>
      <c r="G13" s="64">
        <v>1359620</v>
      </c>
      <c r="H13" s="8">
        <f t="shared" si="0"/>
        <v>1359620</v>
      </c>
      <c r="I13" s="9"/>
      <c r="J13" s="9"/>
    </row>
    <row r="14" spans="1:10" ht="25.5">
      <c r="A14" s="5" t="s">
        <v>32</v>
      </c>
      <c r="B14" s="10" t="s">
        <v>33</v>
      </c>
      <c r="C14" s="7" t="s">
        <v>34</v>
      </c>
      <c r="D14" s="7"/>
      <c r="E14" s="7"/>
      <c r="F14" s="7"/>
      <c r="G14" s="64"/>
      <c r="H14" s="8">
        <f t="shared" si="0"/>
        <v>0</v>
      </c>
      <c r="I14" s="9"/>
      <c r="J14" s="9"/>
    </row>
    <row r="15" spans="1:10" ht="25.5">
      <c r="A15" s="5" t="s">
        <v>35</v>
      </c>
      <c r="B15" s="10" t="s">
        <v>36</v>
      </c>
      <c r="C15" s="7" t="s">
        <v>37</v>
      </c>
      <c r="D15" s="7"/>
      <c r="E15" s="7"/>
      <c r="F15" s="7"/>
      <c r="G15" s="64">
        <v>2275000</v>
      </c>
      <c r="H15" s="8">
        <f t="shared" si="0"/>
        <v>2275000</v>
      </c>
      <c r="I15" s="9"/>
      <c r="J15" s="9"/>
    </row>
    <row r="16" spans="1:10" ht="38.25">
      <c r="A16" s="5" t="s">
        <v>38</v>
      </c>
      <c r="B16" s="10" t="s">
        <v>39</v>
      </c>
      <c r="C16" s="106" t="s">
        <v>40</v>
      </c>
      <c r="D16" s="106"/>
      <c r="E16" s="106"/>
      <c r="F16" s="106"/>
      <c r="G16" s="64">
        <v>0</v>
      </c>
      <c r="H16" s="8">
        <f t="shared" si="0"/>
        <v>0</v>
      </c>
      <c r="I16" s="9"/>
      <c r="J16" s="9"/>
    </row>
    <row r="17" spans="1:10" ht="76.5">
      <c r="A17" s="5" t="s">
        <v>41</v>
      </c>
      <c r="B17" s="10" t="s">
        <v>42</v>
      </c>
      <c r="C17" s="106" t="s">
        <v>43</v>
      </c>
      <c r="D17" s="106"/>
      <c r="E17" s="106"/>
      <c r="F17" s="106"/>
      <c r="G17" s="65">
        <f>'[1]Hiv.'!$I$81</f>
        <v>864000</v>
      </c>
      <c r="H17" s="8">
        <f t="shared" si="0"/>
        <v>864000</v>
      </c>
      <c r="I17" s="12"/>
      <c r="J17" s="12"/>
    </row>
    <row r="18" spans="1:10" ht="25.5">
      <c r="A18" s="5" t="s">
        <v>44</v>
      </c>
      <c r="B18" s="10" t="s">
        <v>45</v>
      </c>
      <c r="C18" s="106" t="s">
        <v>46</v>
      </c>
      <c r="D18" s="106"/>
      <c r="E18" s="106"/>
      <c r="F18" s="106"/>
      <c r="G18" s="64">
        <f>'[1]Hiv.'!$I$82</f>
        <v>50000</v>
      </c>
      <c r="H18" s="8">
        <f t="shared" si="0"/>
        <v>50000</v>
      </c>
      <c r="I18" s="9"/>
      <c r="J18" s="9"/>
    </row>
    <row r="19" spans="1:10" ht="25.5">
      <c r="A19" s="13" t="s">
        <v>47</v>
      </c>
      <c r="B19" s="14" t="s">
        <v>48</v>
      </c>
      <c r="C19" s="110" t="s">
        <v>49</v>
      </c>
      <c r="D19" s="110"/>
      <c r="E19" s="110"/>
      <c r="F19" s="110"/>
      <c r="G19" s="66">
        <f>SUM(G7:G18)</f>
        <v>115627182</v>
      </c>
      <c r="H19" s="66">
        <f>SUM(H7:H18)</f>
        <v>115627182</v>
      </c>
      <c r="I19" s="15"/>
      <c r="J19" s="15"/>
    </row>
    <row r="20" spans="1:10" ht="51">
      <c r="A20" s="13" t="s">
        <v>50</v>
      </c>
      <c r="B20" s="14" t="s">
        <v>51</v>
      </c>
      <c r="C20" s="110" t="s">
        <v>52</v>
      </c>
      <c r="D20" s="110"/>
      <c r="E20" s="110"/>
      <c r="F20" s="110"/>
      <c r="G20" s="18">
        <v>16120489</v>
      </c>
      <c r="H20" s="18">
        <v>16120489</v>
      </c>
      <c r="I20" s="18"/>
      <c r="J20" s="18"/>
    </row>
    <row r="21" spans="1:10" ht="25.5">
      <c r="A21" s="5" t="s">
        <v>53</v>
      </c>
      <c r="B21" s="10" t="s">
        <v>54</v>
      </c>
      <c r="C21" s="106" t="s">
        <v>55</v>
      </c>
      <c r="D21" s="106"/>
      <c r="E21" s="106"/>
      <c r="F21" s="106"/>
      <c r="G21" s="64">
        <v>500000</v>
      </c>
      <c r="H21" s="8">
        <f>G21</f>
        <v>500000</v>
      </c>
      <c r="I21" s="9"/>
      <c r="J21" s="9"/>
    </row>
    <row r="22" spans="1:10" ht="38.25">
      <c r="A22" s="5" t="s">
        <v>56</v>
      </c>
      <c r="B22" s="10" t="s">
        <v>57</v>
      </c>
      <c r="C22" s="7" t="s">
        <v>58</v>
      </c>
      <c r="D22" s="7"/>
      <c r="E22" s="7"/>
      <c r="F22" s="7"/>
      <c r="G22" s="64">
        <v>1850000</v>
      </c>
      <c r="H22" s="8">
        <f aca="true" t="shared" si="1" ref="H22:H31">G22</f>
        <v>1850000</v>
      </c>
      <c r="I22" s="9"/>
      <c r="J22" s="9"/>
    </row>
    <row r="23" spans="1:10" ht="38.25">
      <c r="A23" s="5" t="s">
        <v>59</v>
      </c>
      <c r="B23" s="10" t="s">
        <v>60</v>
      </c>
      <c r="C23" s="106" t="s">
        <v>61</v>
      </c>
      <c r="D23" s="106"/>
      <c r="E23" s="106"/>
      <c r="F23" s="106"/>
      <c r="G23" s="64">
        <v>700000</v>
      </c>
      <c r="H23" s="8">
        <f t="shared" si="1"/>
        <v>700000</v>
      </c>
      <c r="I23" s="9"/>
      <c r="J23" s="9"/>
    </row>
    <row r="24" spans="1:10" ht="38.25">
      <c r="A24" s="5" t="s">
        <v>62</v>
      </c>
      <c r="B24" s="10" t="s">
        <v>63</v>
      </c>
      <c r="C24" s="106" t="s">
        <v>64</v>
      </c>
      <c r="D24" s="106"/>
      <c r="E24" s="106"/>
      <c r="F24" s="106"/>
      <c r="G24" s="64">
        <v>590000</v>
      </c>
      <c r="H24" s="8">
        <f t="shared" si="1"/>
        <v>590000</v>
      </c>
      <c r="I24" s="9"/>
      <c r="J24" s="9"/>
    </row>
    <row r="25" spans="1:10" ht="15">
      <c r="A25" s="5" t="s">
        <v>65</v>
      </c>
      <c r="B25" s="19" t="s">
        <v>66</v>
      </c>
      <c r="C25" s="106" t="s">
        <v>67</v>
      </c>
      <c r="D25" s="106"/>
      <c r="E25" s="106"/>
      <c r="F25" s="106"/>
      <c r="G25" s="64">
        <f>2200000</f>
        <v>2200000</v>
      </c>
      <c r="H25" s="8">
        <f t="shared" si="1"/>
        <v>2200000</v>
      </c>
      <c r="I25" s="9"/>
      <c r="J25" s="9"/>
    </row>
    <row r="26" spans="1:10" ht="38.25">
      <c r="A26" s="5" t="s">
        <v>68</v>
      </c>
      <c r="B26" s="19" t="s">
        <v>69</v>
      </c>
      <c r="C26" s="106" t="s">
        <v>70</v>
      </c>
      <c r="D26" s="106"/>
      <c r="E26" s="106"/>
      <c r="F26" s="106"/>
      <c r="G26" s="64">
        <v>0</v>
      </c>
      <c r="H26" s="8">
        <f t="shared" si="1"/>
        <v>0</v>
      </c>
      <c r="I26" s="9"/>
      <c r="J26" s="9"/>
    </row>
    <row r="27" spans="1:10" ht="25.5">
      <c r="A27" s="5" t="s">
        <v>71</v>
      </c>
      <c r="B27" s="19" t="s">
        <v>72</v>
      </c>
      <c r="C27" s="7" t="s">
        <v>73</v>
      </c>
      <c r="D27" s="7"/>
      <c r="E27" s="7"/>
      <c r="F27" s="7"/>
      <c r="G27" s="64">
        <v>0</v>
      </c>
      <c r="H27" s="8">
        <f t="shared" si="1"/>
        <v>0</v>
      </c>
      <c r="I27" s="9"/>
      <c r="J27" s="9"/>
    </row>
    <row r="28" spans="1:10" ht="51">
      <c r="A28" s="5" t="s">
        <v>74</v>
      </c>
      <c r="B28" s="19" t="s">
        <v>75</v>
      </c>
      <c r="C28" s="106" t="s">
        <v>76</v>
      </c>
      <c r="D28" s="106"/>
      <c r="E28" s="106"/>
      <c r="F28" s="106"/>
      <c r="G28" s="64">
        <v>2000000</v>
      </c>
      <c r="H28" s="8">
        <f t="shared" si="1"/>
        <v>2000000</v>
      </c>
      <c r="I28" s="9"/>
      <c r="J28" s="9"/>
    </row>
    <row r="29" spans="1:10" ht="25.5">
      <c r="A29" s="5" t="s">
        <v>77</v>
      </c>
      <c r="B29" s="19" t="s">
        <v>78</v>
      </c>
      <c r="C29" s="106" t="s">
        <v>79</v>
      </c>
      <c r="D29" s="106"/>
      <c r="E29" s="106"/>
      <c r="F29" s="106"/>
      <c r="G29" s="64">
        <v>900000</v>
      </c>
      <c r="H29" s="8">
        <f t="shared" si="1"/>
        <v>900000</v>
      </c>
      <c r="I29" s="9"/>
      <c r="J29" s="9"/>
    </row>
    <row r="30" spans="1:10" ht="25.5">
      <c r="A30" s="5" t="s">
        <v>80</v>
      </c>
      <c r="B30" s="19" t="s">
        <v>81</v>
      </c>
      <c r="C30" s="7" t="s">
        <v>82</v>
      </c>
      <c r="D30" s="7"/>
      <c r="E30" s="7"/>
      <c r="F30" s="7"/>
      <c r="G30" s="64">
        <f>'[1]Hiv.'!$I$91</f>
        <v>200000</v>
      </c>
      <c r="H30" s="8">
        <v>0</v>
      </c>
      <c r="I30" s="9">
        <v>200000</v>
      </c>
      <c r="J30" s="9"/>
    </row>
    <row r="31" spans="1:10" ht="63.75">
      <c r="A31" s="5" t="s">
        <v>83</v>
      </c>
      <c r="B31" s="19" t="s">
        <v>84</v>
      </c>
      <c r="C31" s="106" t="s">
        <v>85</v>
      </c>
      <c r="D31" s="106"/>
      <c r="E31" s="106"/>
      <c r="F31" s="106"/>
      <c r="G31" s="64">
        <v>2029800</v>
      </c>
      <c r="H31" s="8">
        <f t="shared" si="1"/>
        <v>2029800</v>
      </c>
      <c r="I31" s="9"/>
      <c r="J31" s="9"/>
    </row>
    <row r="32" spans="1:10" ht="25.5">
      <c r="A32" s="5" t="s">
        <v>86</v>
      </c>
      <c r="B32" s="21" t="s">
        <v>87</v>
      </c>
      <c r="C32" s="106" t="s">
        <v>88</v>
      </c>
      <c r="D32" s="106"/>
      <c r="E32" s="106"/>
      <c r="F32" s="106"/>
      <c r="G32" s="65"/>
      <c r="H32" s="11"/>
      <c r="I32" s="9"/>
      <c r="J32" s="9"/>
    </row>
    <row r="33" spans="1:10" ht="15">
      <c r="A33" s="13" t="s">
        <v>89</v>
      </c>
      <c r="B33" s="14" t="s">
        <v>90</v>
      </c>
      <c r="C33" s="110" t="s">
        <v>91</v>
      </c>
      <c r="D33" s="110"/>
      <c r="E33" s="110"/>
      <c r="F33" s="110"/>
      <c r="G33" s="67">
        <f>SUM(G21:G32)</f>
        <v>10969800</v>
      </c>
      <c r="H33" s="67">
        <f>SUM(H21:H32)</f>
        <v>10769800</v>
      </c>
      <c r="I33" s="67">
        <f>SUM(I21:I32)</f>
        <v>200000</v>
      </c>
      <c r="J33" s="67">
        <f>SUM(J21:J32)</f>
        <v>0</v>
      </c>
    </row>
    <row r="34" spans="1:10" ht="38.25">
      <c r="A34" s="5" t="s">
        <v>92</v>
      </c>
      <c r="B34" s="10" t="s">
        <v>93</v>
      </c>
      <c r="C34" s="7" t="s">
        <v>94</v>
      </c>
      <c r="D34" s="22"/>
      <c r="E34" s="22"/>
      <c r="F34" s="22"/>
      <c r="G34" s="68"/>
      <c r="H34" s="59"/>
      <c r="I34" s="9"/>
      <c r="J34" s="9"/>
    </row>
    <row r="35" spans="1:10" ht="38.25">
      <c r="A35" s="5" t="s">
        <v>95</v>
      </c>
      <c r="B35" s="10" t="s">
        <v>96</v>
      </c>
      <c r="C35" s="7" t="s">
        <v>97</v>
      </c>
      <c r="D35" s="22"/>
      <c r="E35" s="22"/>
      <c r="F35" s="22"/>
      <c r="G35" s="68"/>
      <c r="H35" s="59"/>
      <c r="I35" s="9"/>
      <c r="J35" s="9"/>
    </row>
    <row r="36" spans="1:10" ht="25.5">
      <c r="A36" s="13" t="s">
        <v>98</v>
      </c>
      <c r="B36" s="14" t="s">
        <v>99</v>
      </c>
      <c r="C36" s="23" t="s">
        <v>100</v>
      </c>
      <c r="D36" s="23"/>
      <c r="E36" s="23"/>
      <c r="F36" s="23"/>
      <c r="G36" s="67"/>
      <c r="H36" s="18"/>
      <c r="I36" s="18"/>
      <c r="J36" s="18"/>
    </row>
    <row r="37" spans="1:10" ht="51">
      <c r="A37" s="5" t="s">
        <v>101</v>
      </c>
      <c r="B37" s="10" t="s">
        <v>102</v>
      </c>
      <c r="C37" s="7" t="s">
        <v>103</v>
      </c>
      <c r="D37" s="22"/>
      <c r="E37" s="22"/>
      <c r="F37" s="22"/>
      <c r="G37" s="68"/>
      <c r="H37" s="59"/>
      <c r="I37" s="9"/>
      <c r="J37" s="9"/>
    </row>
    <row r="38" spans="1:10" ht="51">
      <c r="A38" s="5" t="s">
        <v>104</v>
      </c>
      <c r="B38" s="10" t="s">
        <v>105</v>
      </c>
      <c r="C38" s="7" t="s">
        <v>106</v>
      </c>
      <c r="D38" s="22"/>
      <c r="E38" s="22"/>
      <c r="F38" s="22"/>
      <c r="G38" s="68"/>
      <c r="H38" s="59"/>
      <c r="I38" s="9"/>
      <c r="J38" s="9"/>
    </row>
    <row r="39" spans="1:10" ht="15">
      <c r="A39" s="5" t="s">
        <v>107</v>
      </c>
      <c r="B39" s="10" t="s">
        <v>108</v>
      </c>
      <c r="C39" s="7" t="s">
        <v>109</v>
      </c>
      <c r="D39" s="22"/>
      <c r="E39" s="22"/>
      <c r="F39" s="22"/>
      <c r="G39" s="68"/>
      <c r="H39" s="59"/>
      <c r="I39" s="9"/>
      <c r="J39" s="9"/>
    </row>
    <row r="40" spans="1:10" ht="25.5">
      <c r="A40" s="13" t="s">
        <v>110</v>
      </c>
      <c r="B40" s="24" t="s">
        <v>111</v>
      </c>
      <c r="C40" s="23" t="s">
        <v>112</v>
      </c>
      <c r="D40" s="23"/>
      <c r="E40" s="23"/>
      <c r="F40" s="23"/>
      <c r="G40" s="67"/>
      <c r="H40" s="18"/>
      <c r="I40" s="18"/>
      <c r="J40" s="18"/>
    </row>
    <row r="41" spans="1:10" ht="51">
      <c r="A41" s="5" t="s">
        <v>113</v>
      </c>
      <c r="B41" s="10" t="s">
        <v>117</v>
      </c>
      <c r="C41" s="7" t="s">
        <v>118</v>
      </c>
      <c r="D41" s="22"/>
      <c r="E41" s="22"/>
      <c r="F41" s="22"/>
      <c r="G41" s="65">
        <f>3000000/1.27</f>
        <v>2362204.724409449</v>
      </c>
      <c r="H41" s="11">
        <v>0</v>
      </c>
      <c r="I41" s="29">
        <f>G41</f>
        <v>2362204.724409449</v>
      </c>
      <c r="J41" s="9"/>
    </row>
    <row r="42" spans="1:10" ht="63.75">
      <c r="A42" s="5" t="s">
        <v>116</v>
      </c>
      <c r="B42" s="10" t="s">
        <v>120</v>
      </c>
      <c r="C42" s="7" t="s">
        <v>121</v>
      </c>
      <c r="D42" s="22"/>
      <c r="E42" s="22"/>
      <c r="F42" s="22"/>
      <c r="G42" s="65">
        <f>G41*0.27</f>
        <v>637795.2755905512</v>
      </c>
      <c r="H42" s="11">
        <v>0</v>
      </c>
      <c r="I42" s="29">
        <f>G42</f>
        <v>637795.2755905512</v>
      </c>
      <c r="J42" s="9"/>
    </row>
    <row r="43" spans="1:10" ht="15">
      <c r="A43" s="13" t="s">
        <v>119</v>
      </c>
      <c r="B43" s="14" t="s">
        <v>123</v>
      </c>
      <c r="C43" s="23" t="s">
        <v>124</v>
      </c>
      <c r="D43" s="23"/>
      <c r="E43" s="23"/>
      <c r="F43" s="23"/>
      <c r="G43" s="69">
        <f>G41+G42</f>
        <v>3000000</v>
      </c>
      <c r="H43" s="70"/>
      <c r="I43" s="16">
        <f>G43</f>
        <v>3000000</v>
      </c>
      <c r="J43" s="17"/>
    </row>
    <row r="44" spans="1:10" ht="25.5">
      <c r="A44" s="5" t="s">
        <v>122</v>
      </c>
      <c r="B44" s="10" t="s">
        <v>126</v>
      </c>
      <c r="C44" s="7" t="s">
        <v>127</v>
      </c>
      <c r="D44" s="22"/>
      <c r="E44" s="22"/>
      <c r="F44" s="22"/>
      <c r="G44" s="68"/>
      <c r="H44" s="59"/>
      <c r="I44" s="9"/>
      <c r="J44" s="9"/>
    </row>
    <row r="45" spans="1:10" ht="63.75">
      <c r="A45" s="5" t="s">
        <v>125</v>
      </c>
      <c r="B45" s="10" t="s">
        <v>129</v>
      </c>
      <c r="C45" s="7" t="s">
        <v>130</v>
      </c>
      <c r="D45" s="7"/>
      <c r="E45" s="7"/>
      <c r="F45" s="7"/>
      <c r="G45" s="65"/>
      <c r="H45" s="11"/>
      <c r="I45" s="9"/>
      <c r="J45" s="9"/>
    </row>
    <row r="46" spans="1:10" ht="15">
      <c r="A46" s="13" t="s">
        <v>128</v>
      </c>
      <c r="B46" s="14" t="s">
        <v>132</v>
      </c>
      <c r="C46" s="23" t="s">
        <v>133</v>
      </c>
      <c r="D46" s="23"/>
      <c r="E46" s="23"/>
      <c r="F46" s="23"/>
      <c r="G46" s="67"/>
      <c r="H46" s="18"/>
      <c r="I46" s="18"/>
      <c r="J46" s="18"/>
    </row>
    <row r="47" spans="1:10" ht="76.5">
      <c r="A47" s="5" t="s">
        <v>131</v>
      </c>
      <c r="B47" s="10" t="s">
        <v>135</v>
      </c>
      <c r="C47" s="7" t="s">
        <v>136</v>
      </c>
      <c r="D47" s="7"/>
      <c r="E47" s="7"/>
      <c r="F47" s="7"/>
      <c r="G47" s="65"/>
      <c r="H47" s="11"/>
      <c r="I47" s="9"/>
      <c r="J47" s="9"/>
    </row>
    <row r="48" spans="1:10" ht="25.5">
      <c r="A48" s="13" t="s">
        <v>134</v>
      </c>
      <c r="B48" s="14" t="s">
        <v>138</v>
      </c>
      <c r="C48" s="23" t="s">
        <v>139</v>
      </c>
      <c r="D48" s="23"/>
      <c r="E48" s="23"/>
      <c r="F48" s="23"/>
      <c r="G48" s="67"/>
      <c r="H48" s="18"/>
      <c r="I48" s="18"/>
      <c r="J48" s="18"/>
    </row>
    <row r="49" spans="1:10" ht="25.5">
      <c r="A49" s="13" t="s">
        <v>137</v>
      </c>
      <c r="B49" s="30" t="s">
        <v>141</v>
      </c>
      <c r="C49" s="110" t="s">
        <v>142</v>
      </c>
      <c r="D49" s="110"/>
      <c r="E49" s="110"/>
      <c r="F49" s="110"/>
      <c r="G49" s="67">
        <f>G19+G20+G33+G36+G40+G43+G46+G48</f>
        <v>145717471</v>
      </c>
      <c r="H49" s="67">
        <f>H19+H20+H33+H36+H40+H43+H46+H48</f>
        <v>142517471</v>
      </c>
      <c r="I49" s="67">
        <f>I19+I20+I33+I36+I40+I43+I46+I48</f>
        <v>3200000</v>
      </c>
      <c r="J49" s="67">
        <f>J19+J20+J33+J36+J40+J43+J46+J48</f>
        <v>0</v>
      </c>
    </row>
    <row r="50" spans="1:10" ht="15">
      <c r="A50" s="31"/>
      <c r="B50" s="2"/>
      <c r="C50" s="2"/>
      <c r="D50" s="2"/>
      <c r="E50" s="2"/>
      <c r="F50" s="2"/>
      <c r="G50" s="32"/>
      <c r="H50" s="32"/>
      <c r="I50" s="2"/>
      <c r="J50" s="2"/>
    </row>
    <row r="51" spans="1:10" ht="15">
      <c r="A51" s="123" t="s">
        <v>143</v>
      </c>
      <c r="B51" s="123"/>
      <c r="C51" s="123"/>
      <c r="D51" s="123"/>
      <c r="E51" s="123"/>
      <c r="F51" s="123"/>
      <c r="G51" s="123"/>
      <c r="H51" s="123"/>
      <c r="I51" s="33"/>
      <c r="J51" s="33"/>
    </row>
    <row r="52" spans="1:10" ht="15">
      <c r="A52" s="112" t="s">
        <v>3</v>
      </c>
      <c r="B52" s="113" t="s">
        <v>4</v>
      </c>
      <c r="C52" s="114" t="s">
        <v>5</v>
      </c>
      <c r="D52" s="114"/>
      <c r="E52" s="114"/>
      <c r="F52" s="114"/>
      <c r="G52" s="115" t="s">
        <v>144</v>
      </c>
      <c r="H52" s="34"/>
      <c r="I52" s="3"/>
      <c r="J52" s="3"/>
    </row>
    <row r="53" spans="1:10" ht="15">
      <c r="A53" s="112"/>
      <c r="B53" s="113"/>
      <c r="C53" s="114"/>
      <c r="D53" s="114"/>
      <c r="E53" s="114"/>
      <c r="F53" s="114"/>
      <c r="G53" s="115"/>
      <c r="H53" s="35"/>
      <c r="I53" s="2"/>
      <c r="J53" s="2"/>
    </row>
    <row r="54" spans="1:10" ht="51">
      <c r="A54" s="5" t="s">
        <v>140</v>
      </c>
      <c r="B54" s="19" t="s">
        <v>145</v>
      </c>
      <c r="C54" s="106" t="s">
        <v>146</v>
      </c>
      <c r="D54" s="106"/>
      <c r="E54" s="106"/>
      <c r="F54" s="106"/>
      <c r="G54" s="8"/>
      <c r="H54" s="8"/>
      <c r="I54" s="36"/>
      <c r="J54" s="36"/>
    </row>
    <row r="55" spans="1:10" ht="38.25">
      <c r="A55" s="5" t="s">
        <v>147</v>
      </c>
      <c r="B55" s="19" t="s">
        <v>148</v>
      </c>
      <c r="C55" s="106" t="s">
        <v>149</v>
      </c>
      <c r="D55" s="106"/>
      <c r="E55" s="106"/>
      <c r="F55" s="106"/>
      <c r="G55" s="8"/>
      <c r="H55" s="8"/>
      <c r="I55" s="36"/>
      <c r="J55" s="36"/>
    </row>
    <row r="56" spans="1:10" ht="25.5">
      <c r="A56" s="13" t="s">
        <v>150</v>
      </c>
      <c r="B56" s="30" t="s">
        <v>151</v>
      </c>
      <c r="C56" s="110" t="s">
        <v>152</v>
      </c>
      <c r="D56" s="110"/>
      <c r="E56" s="110"/>
      <c r="F56" s="110"/>
      <c r="G56" s="18">
        <f>SUM(G54:G55)</f>
        <v>0</v>
      </c>
      <c r="H56" s="18"/>
      <c r="I56" s="36"/>
      <c r="J56" s="36"/>
    </row>
    <row r="57" spans="1:10" ht="15">
      <c r="A57" s="38"/>
      <c r="B57" s="2"/>
      <c r="C57" s="2"/>
      <c r="D57" s="2"/>
      <c r="E57" s="2"/>
      <c r="F57" s="2"/>
      <c r="G57" s="32"/>
      <c r="H57" s="32"/>
      <c r="I57" s="2"/>
      <c r="J57" s="2"/>
    </row>
    <row r="58" spans="1:10" ht="25.5">
      <c r="A58" s="39"/>
      <c r="B58" s="40" t="s">
        <v>153</v>
      </c>
      <c r="C58" s="108"/>
      <c r="D58" s="108"/>
      <c r="E58" s="108"/>
      <c r="F58" s="108"/>
      <c r="G58" s="42">
        <f>G49+G56</f>
        <v>145717471</v>
      </c>
      <c r="H58" s="42"/>
      <c r="I58" s="2"/>
      <c r="J58" s="2"/>
    </row>
  </sheetData>
  <sheetProtection/>
  <mergeCells count="36">
    <mergeCell ref="A1:H1"/>
    <mergeCell ref="A3:H3"/>
    <mergeCell ref="A4:H4"/>
    <mergeCell ref="A5:A6"/>
    <mergeCell ref="B5:B6"/>
    <mergeCell ref="C5:F6"/>
    <mergeCell ref="G5:G6"/>
    <mergeCell ref="H5:J5"/>
    <mergeCell ref="C7:F7"/>
    <mergeCell ref="C11:F11"/>
    <mergeCell ref="C13:F13"/>
    <mergeCell ref="C16:F16"/>
    <mergeCell ref="C17:F17"/>
    <mergeCell ref="C18:F18"/>
    <mergeCell ref="C19:F19"/>
    <mergeCell ref="C20:F20"/>
    <mergeCell ref="C21:F21"/>
    <mergeCell ref="C23:F23"/>
    <mergeCell ref="C24:F24"/>
    <mergeCell ref="C25:F25"/>
    <mergeCell ref="C26:F26"/>
    <mergeCell ref="C28:F28"/>
    <mergeCell ref="C29:F29"/>
    <mergeCell ref="C31:F31"/>
    <mergeCell ref="C32:F32"/>
    <mergeCell ref="C33:F33"/>
    <mergeCell ref="C54:F54"/>
    <mergeCell ref="C55:F55"/>
    <mergeCell ref="C56:F56"/>
    <mergeCell ref="C58:F58"/>
    <mergeCell ref="C49:F49"/>
    <mergeCell ref="A51:H51"/>
    <mergeCell ref="A52:A53"/>
    <mergeCell ref="B52:B53"/>
    <mergeCell ref="C52:F53"/>
    <mergeCell ref="G52:G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16.00390625" style="0" bestFit="1" customWidth="1"/>
    <col min="6" max="6" width="9.28125" style="0" customWidth="1"/>
    <col min="7" max="7" width="15.8515625" style="0" bestFit="1" customWidth="1"/>
    <col min="8" max="8" width="10.8515625" style="0" bestFit="1" customWidth="1"/>
    <col min="9" max="9" width="9.8515625" style="0" bestFit="1" customWidth="1"/>
  </cols>
  <sheetData>
    <row r="1" spans="1:10" ht="15">
      <c r="A1" s="119" t="s">
        <v>231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24" t="s">
        <v>232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155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38.2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76.5">
      <c r="A7" s="5" t="s">
        <v>11</v>
      </c>
      <c r="B7" s="6" t="s">
        <v>156</v>
      </c>
      <c r="C7" s="106" t="s">
        <v>157</v>
      </c>
      <c r="D7" s="106"/>
      <c r="E7" s="106"/>
      <c r="F7" s="106"/>
      <c r="G7" s="8"/>
      <c r="H7" s="9"/>
      <c r="I7" s="9"/>
      <c r="J7" s="9"/>
    </row>
    <row r="8" spans="1:10" ht="76.5">
      <c r="A8" s="5" t="s">
        <v>14</v>
      </c>
      <c r="B8" s="10" t="s">
        <v>158</v>
      </c>
      <c r="C8" s="106" t="s">
        <v>159</v>
      </c>
      <c r="D8" s="106"/>
      <c r="E8" s="106"/>
      <c r="F8" s="106"/>
      <c r="G8" s="8"/>
      <c r="H8" s="9"/>
      <c r="I8" s="9"/>
      <c r="J8" s="9"/>
    </row>
    <row r="9" spans="1:10" ht="89.25">
      <c r="A9" s="5" t="s">
        <v>17</v>
      </c>
      <c r="B9" s="10" t="s">
        <v>160</v>
      </c>
      <c r="C9" s="106" t="s">
        <v>161</v>
      </c>
      <c r="D9" s="106"/>
      <c r="E9" s="106"/>
      <c r="F9" s="106"/>
      <c r="G9" s="8"/>
      <c r="H9" s="9"/>
      <c r="I9" s="9"/>
      <c r="J9" s="9"/>
    </row>
    <row r="10" spans="1:10" ht="76.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102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63.75">
      <c r="A12" s="5" t="s">
        <v>26</v>
      </c>
      <c r="B12" s="10" t="s">
        <v>166</v>
      </c>
      <c r="C12" s="106" t="s">
        <v>167</v>
      </c>
      <c r="D12" s="106"/>
      <c r="E12" s="106"/>
      <c r="F12" s="106"/>
      <c r="G12" s="8"/>
      <c r="H12" s="9"/>
      <c r="I12" s="9"/>
      <c r="J12" s="9"/>
    </row>
    <row r="13" spans="1:10" ht="38.25">
      <c r="A13" s="5" t="s">
        <v>29</v>
      </c>
      <c r="B13" s="10" t="s">
        <v>168</v>
      </c>
      <c r="C13" s="106" t="s">
        <v>169</v>
      </c>
      <c r="D13" s="106"/>
      <c r="E13" s="106"/>
      <c r="F13" s="106"/>
      <c r="G13" s="8"/>
      <c r="H13" s="9"/>
      <c r="I13" s="9"/>
      <c r="J13" s="9"/>
    </row>
    <row r="14" spans="1:10" ht="76.5">
      <c r="A14" s="5" t="s">
        <v>32</v>
      </c>
      <c r="B14" s="10" t="s">
        <v>170</v>
      </c>
      <c r="C14" s="106" t="s">
        <v>171</v>
      </c>
      <c r="D14" s="106"/>
      <c r="E14" s="106"/>
      <c r="F14" s="106"/>
      <c r="G14" s="8"/>
      <c r="H14" s="9"/>
      <c r="I14" s="9"/>
      <c r="J14" s="9"/>
    </row>
    <row r="15" spans="1:10" ht="63.75">
      <c r="A15" s="13" t="s">
        <v>35</v>
      </c>
      <c r="B15" s="14" t="s">
        <v>172</v>
      </c>
      <c r="C15" s="110" t="s">
        <v>173</v>
      </c>
      <c r="D15" s="110"/>
      <c r="E15" s="110"/>
      <c r="F15" s="110"/>
      <c r="G15" s="18">
        <f>SUM(G7:G14)</f>
        <v>0</v>
      </c>
      <c r="H15" s="17"/>
      <c r="I15" s="17"/>
      <c r="J15" s="17"/>
    </row>
    <row r="16" spans="1:10" ht="89.25">
      <c r="A16" s="5" t="s">
        <v>38</v>
      </c>
      <c r="B16" s="10" t="s">
        <v>174</v>
      </c>
      <c r="C16" s="106" t="s">
        <v>175</v>
      </c>
      <c r="D16" s="106"/>
      <c r="E16" s="106"/>
      <c r="F16" s="106"/>
      <c r="G16" s="8"/>
      <c r="H16" s="12"/>
      <c r="I16" s="12"/>
      <c r="J16" s="12"/>
    </row>
    <row r="17" spans="1:10" ht="76.5">
      <c r="A17" s="13" t="s">
        <v>41</v>
      </c>
      <c r="B17" s="14" t="s">
        <v>176</v>
      </c>
      <c r="C17" s="110" t="s">
        <v>177</v>
      </c>
      <c r="D17" s="110"/>
      <c r="E17" s="110"/>
      <c r="F17" s="110"/>
      <c r="G17" s="18">
        <f>SUM(G16)</f>
        <v>0</v>
      </c>
      <c r="H17" s="17"/>
      <c r="I17" s="17"/>
      <c r="J17" s="17"/>
    </row>
    <row r="18" spans="1:10" ht="25.5">
      <c r="A18" s="5" t="s">
        <v>44</v>
      </c>
      <c r="B18" s="10" t="s">
        <v>178</v>
      </c>
      <c r="C18" s="106" t="s">
        <v>179</v>
      </c>
      <c r="D18" s="106"/>
      <c r="E18" s="106"/>
      <c r="F18" s="106"/>
      <c r="G18" s="8"/>
      <c r="H18" s="9"/>
      <c r="I18" s="9"/>
      <c r="J18" s="9"/>
    </row>
    <row r="19" spans="1:10" ht="25.5">
      <c r="A19" s="5" t="s">
        <v>47</v>
      </c>
      <c r="B19" s="10" t="s">
        <v>180</v>
      </c>
      <c r="C19" s="106" t="s">
        <v>181</v>
      </c>
      <c r="D19" s="106"/>
      <c r="E19" s="106"/>
      <c r="F19" s="106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106" t="s">
        <v>183</v>
      </c>
      <c r="D20" s="106"/>
      <c r="E20" s="106"/>
      <c r="F20" s="106"/>
      <c r="G20" s="8"/>
      <c r="H20" s="9"/>
      <c r="I20" s="9"/>
      <c r="J20" s="9"/>
    </row>
    <row r="21" spans="1:10" ht="38.25">
      <c r="A21" s="5" t="s">
        <v>53</v>
      </c>
      <c r="B21" s="10" t="s">
        <v>184</v>
      </c>
      <c r="C21" s="106" t="s">
        <v>185</v>
      </c>
      <c r="D21" s="106"/>
      <c r="E21" s="106"/>
      <c r="F21" s="106"/>
      <c r="G21" s="8"/>
      <c r="H21" s="9"/>
      <c r="I21" s="9"/>
      <c r="J21" s="9"/>
    </row>
    <row r="22" spans="1:10" ht="38.25">
      <c r="A22" s="13" t="s">
        <v>56</v>
      </c>
      <c r="B22" s="14" t="s">
        <v>186</v>
      </c>
      <c r="C22" s="110" t="s">
        <v>187</v>
      </c>
      <c r="D22" s="110"/>
      <c r="E22" s="110"/>
      <c r="F22" s="110"/>
      <c r="G22" s="18">
        <f>SUM(G18:G21)</f>
        <v>0</v>
      </c>
      <c r="H22" s="17"/>
      <c r="I22" s="17"/>
      <c r="J22" s="17"/>
    </row>
    <row r="23" spans="1:10" ht="25.5">
      <c r="A23" s="5" t="s">
        <v>59</v>
      </c>
      <c r="B23" s="19" t="s">
        <v>188</v>
      </c>
      <c r="C23" s="106" t="s">
        <v>189</v>
      </c>
      <c r="D23" s="106"/>
      <c r="E23" s="106"/>
      <c r="F23" s="106"/>
      <c r="G23" s="8"/>
      <c r="H23" s="9"/>
      <c r="I23" s="9"/>
      <c r="J23" s="9"/>
    </row>
    <row r="24" spans="1:10" ht="25.5">
      <c r="A24" s="5" t="s">
        <v>62</v>
      </c>
      <c r="B24" s="19" t="s">
        <v>190</v>
      </c>
      <c r="C24" s="106" t="s">
        <v>191</v>
      </c>
      <c r="D24" s="106"/>
      <c r="E24" s="106"/>
      <c r="F24" s="106"/>
      <c r="G24" s="71">
        <f>'[3]Bev.Óvoda'!$E$39</f>
        <v>14656003.937007874</v>
      </c>
      <c r="H24" s="8">
        <v>0</v>
      </c>
      <c r="I24" s="8">
        <f>G24</f>
        <v>14656003.937007874</v>
      </c>
      <c r="J24" s="9"/>
    </row>
    <row r="25" spans="1:10" ht="38.25">
      <c r="A25" s="5" t="s">
        <v>65</v>
      </c>
      <c r="B25" s="19" t="s">
        <v>192</v>
      </c>
      <c r="C25" s="106" t="s">
        <v>193</v>
      </c>
      <c r="D25" s="106"/>
      <c r="E25" s="106"/>
      <c r="F25" s="106"/>
      <c r="G25" s="8"/>
      <c r="H25" s="9"/>
      <c r="I25" s="12"/>
      <c r="J25" s="9"/>
    </row>
    <row r="26" spans="1:10" ht="25.5">
      <c r="A26" s="5" t="s">
        <v>68</v>
      </c>
      <c r="B26" s="19" t="s">
        <v>194</v>
      </c>
      <c r="C26" s="106" t="s">
        <v>195</v>
      </c>
      <c r="D26" s="106"/>
      <c r="E26" s="106"/>
      <c r="F26" s="106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106" t="s">
        <v>197</v>
      </c>
      <c r="D27" s="106"/>
      <c r="E27" s="106"/>
      <c r="F27" s="106"/>
      <c r="G27" s="8">
        <f>'[3]Bev.Óvoda'!$E$40</f>
        <v>14585386.61417323</v>
      </c>
      <c r="H27" s="8">
        <f>G27</f>
        <v>14585386.61417323</v>
      </c>
      <c r="I27" s="9"/>
      <c r="J27" s="9"/>
    </row>
    <row r="28" spans="1:10" ht="38.25">
      <c r="A28" s="5" t="s">
        <v>74</v>
      </c>
      <c r="B28" s="19" t="s">
        <v>198</v>
      </c>
      <c r="C28" s="106" t="s">
        <v>199</v>
      </c>
      <c r="D28" s="106"/>
      <c r="E28" s="106"/>
      <c r="F28" s="106"/>
      <c r="G28" s="8">
        <f>'[3]Bev.Óvoda'!$E$41</f>
        <v>7895175.448818899</v>
      </c>
      <c r="H28" s="8">
        <f>H27*0.27</f>
        <v>3938054.385826772</v>
      </c>
      <c r="I28" s="8">
        <f>I24*0.27</f>
        <v>3957121.062992126</v>
      </c>
      <c r="J28" s="9"/>
    </row>
    <row r="29" spans="1:10" ht="38.25">
      <c r="A29" s="13" t="s">
        <v>77</v>
      </c>
      <c r="B29" s="48" t="s">
        <v>200</v>
      </c>
      <c r="C29" s="110" t="s">
        <v>201</v>
      </c>
      <c r="D29" s="110"/>
      <c r="E29" s="110"/>
      <c r="F29" s="110"/>
      <c r="G29" s="18">
        <f>SUM(G23:G28)</f>
        <v>37136566</v>
      </c>
      <c r="H29" s="18">
        <f>SUM(H23:H28)</f>
        <v>18523441</v>
      </c>
      <c r="I29" s="18">
        <f>SUM(I23:I28)</f>
        <v>18613125</v>
      </c>
      <c r="J29" s="17"/>
    </row>
    <row r="30" spans="1:10" ht="25.5">
      <c r="A30" s="49" t="s">
        <v>80</v>
      </c>
      <c r="B30" s="21" t="s">
        <v>202</v>
      </c>
      <c r="C30" s="7" t="s">
        <v>203</v>
      </c>
      <c r="D30" s="22"/>
      <c r="E30" s="22"/>
      <c r="F30" s="22"/>
      <c r="G30" s="59"/>
      <c r="H30" s="9"/>
      <c r="I30" s="9"/>
      <c r="J30" s="9"/>
    </row>
    <row r="31" spans="1:10" ht="25.5">
      <c r="A31" s="13" t="s">
        <v>83</v>
      </c>
      <c r="B31" s="48" t="s">
        <v>204</v>
      </c>
      <c r="C31" s="23" t="s">
        <v>203</v>
      </c>
      <c r="D31" s="23"/>
      <c r="E31" s="23"/>
      <c r="F31" s="23"/>
      <c r="G31" s="18"/>
      <c r="H31" s="17"/>
      <c r="I31" s="17"/>
      <c r="J31" s="17"/>
    </row>
    <row r="32" spans="1:10" ht="89.25">
      <c r="A32" s="5" t="s">
        <v>86</v>
      </c>
      <c r="B32" s="10" t="s">
        <v>206</v>
      </c>
      <c r="C32" s="106" t="s">
        <v>207</v>
      </c>
      <c r="D32" s="106"/>
      <c r="E32" s="106"/>
      <c r="F32" s="106"/>
      <c r="G32" s="8"/>
      <c r="H32" s="9"/>
      <c r="I32" s="9"/>
      <c r="J32" s="9"/>
    </row>
    <row r="33" spans="1:10" ht="51">
      <c r="A33" s="13" t="s">
        <v>89</v>
      </c>
      <c r="B33" s="14" t="s">
        <v>208</v>
      </c>
      <c r="C33" s="110" t="s">
        <v>209</v>
      </c>
      <c r="D33" s="110"/>
      <c r="E33" s="110"/>
      <c r="F33" s="110"/>
      <c r="G33" s="18">
        <f>SUM(G32)</f>
        <v>0</v>
      </c>
      <c r="H33" s="17"/>
      <c r="I33" s="17"/>
      <c r="J33" s="17"/>
    </row>
    <row r="34" spans="1:10" ht="38.25">
      <c r="A34" s="5" t="s">
        <v>92</v>
      </c>
      <c r="B34" s="10" t="s">
        <v>210</v>
      </c>
      <c r="C34" s="22" t="s">
        <v>211</v>
      </c>
      <c r="D34" s="22"/>
      <c r="E34" s="22"/>
      <c r="F34" s="22"/>
      <c r="G34" s="59"/>
      <c r="H34" s="9"/>
      <c r="I34" s="9"/>
      <c r="J34" s="9"/>
    </row>
    <row r="35" spans="1:10" ht="38.25">
      <c r="A35" s="13" t="s">
        <v>95</v>
      </c>
      <c r="B35" s="14" t="s">
        <v>212</v>
      </c>
      <c r="C35" s="110" t="s">
        <v>213</v>
      </c>
      <c r="D35" s="110"/>
      <c r="E35" s="110"/>
      <c r="F35" s="110"/>
      <c r="G35" s="18">
        <f>SUM(G34)</f>
        <v>0</v>
      </c>
      <c r="H35" s="60"/>
      <c r="I35" s="60"/>
      <c r="J35" s="60"/>
    </row>
    <row r="36" spans="1:10" ht="51">
      <c r="A36" s="13" t="s">
        <v>98</v>
      </c>
      <c r="B36" s="30" t="s">
        <v>214</v>
      </c>
      <c r="C36" s="110" t="s">
        <v>215</v>
      </c>
      <c r="D36" s="110"/>
      <c r="E36" s="110"/>
      <c r="F36" s="110"/>
      <c r="G36" s="18">
        <f>G15+G17+G22+G29+G33+G35</f>
        <v>37136566</v>
      </c>
      <c r="H36" s="18">
        <f>H35+H33+H31+H29+H22+H17+H15</f>
        <v>18523441</v>
      </c>
      <c r="I36" s="18">
        <f>I35+I33+I31+I29+I22+I17+I15</f>
        <v>18613125</v>
      </c>
      <c r="J36" s="17"/>
    </row>
    <row r="37" spans="1:10" ht="15">
      <c r="A37" s="31"/>
      <c r="B37" s="2"/>
      <c r="C37" s="2"/>
      <c r="D37" s="2"/>
      <c r="E37" s="2"/>
      <c r="F37" s="2"/>
      <c r="G37" s="32"/>
      <c r="H37" s="2"/>
      <c r="I37" s="2"/>
      <c r="J37" s="2"/>
    </row>
    <row r="38" spans="1:10" ht="15">
      <c r="A38" s="123" t="s">
        <v>216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>
      <c r="A39" s="112" t="s">
        <v>3</v>
      </c>
      <c r="B39" s="113" t="s">
        <v>4</v>
      </c>
      <c r="C39" s="114" t="s">
        <v>5</v>
      </c>
      <c r="D39" s="114"/>
      <c r="E39" s="114"/>
      <c r="F39" s="114"/>
      <c r="G39" s="115" t="s">
        <v>144</v>
      </c>
      <c r="H39" s="116" t="s">
        <v>7</v>
      </c>
      <c r="I39" s="117"/>
      <c r="J39" s="118"/>
    </row>
    <row r="40" spans="1:10" ht="38.25">
      <c r="A40" s="112"/>
      <c r="B40" s="113"/>
      <c r="C40" s="114"/>
      <c r="D40" s="114"/>
      <c r="E40" s="114"/>
      <c r="F40" s="114"/>
      <c r="G40" s="115"/>
      <c r="H40" s="4" t="s">
        <v>8</v>
      </c>
      <c r="I40" s="4" t="s">
        <v>9</v>
      </c>
      <c r="J40" s="4" t="s">
        <v>10</v>
      </c>
    </row>
    <row r="41" spans="1:10" ht="51">
      <c r="A41" s="5" t="s">
        <v>101</v>
      </c>
      <c r="B41" s="19" t="s">
        <v>217</v>
      </c>
      <c r="C41" s="106" t="s">
        <v>218</v>
      </c>
      <c r="D41" s="106"/>
      <c r="E41" s="106"/>
      <c r="F41" s="106"/>
      <c r="G41" s="8">
        <f>4821902+56300</f>
        <v>4878202</v>
      </c>
      <c r="H41" s="8">
        <v>0</v>
      </c>
      <c r="I41" s="12"/>
      <c r="J41" s="12"/>
    </row>
    <row r="42" spans="1:10" ht="25.5">
      <c r="A42" s="5" t="s">
        <v>104</v>
      </c>
      <c r="B42" s="19" t="s">
        <v>219</v>
      </c>
      <c r="C42" s="106" t="s">
        <v>220</v>
      </c>
      <c r="D42" s="106"/>
      <c r="E42" s="106"/>
      <c r="F42" s="106"/>
      <c r="G42" s="8"/>
      <c r="H42" s="12"/>
      <c r="I42" s="12"/>
      <c r="J42" s="12"/>
    </row>
    <row r="43" spans="1:10" ht="25.5">
      <c r="A43" s="5" t="s">
        <v>107</v>
      </c>
      <c r="B43" s="19" t="s">
        <v>221</v>
      </c>
      <c r="C43" s="53" t="s">
        <v>222</v>
      </c>
      <c r="D43" s="54"/>
      <c r="E43" s="54"/>
      <c r="F43" s="55"/>
      <c r="G43" s="8">
        <f>'[2]óvoda kiad.'!G59-'[2]óvoda bev.'!G41-'[2]óvoda bev.'!G29</f>
        <v>219699297.64</v>
      </c>
      <c r="H43" s="8">
        <f>G43</f>
        <v>219699297.64</v>
      </c>
      <c r="I43" s="12"/>
      <c r="J43" s="12"/>
    </row>
    <row r="44" spans="1:10" ht="25.5">
      <c r="A44" s="13" t="s">
        <v>110</v>
      </c>
      <c r="B44" s="30" t="s">
        <v>223</v>
      </c>
      <c r="C44" s="107" t="s">
        <v>224</v>
      </c>
      <c r="D44" s="108"/>
      <c r="E44" s="108"/>
      <c r="F44" s="109"/>
      <c r="G44" s="18">
        <f>SUM(G41:G43)</f>
        <v>224577499.64</v>
      </c>
      <c r="H44" s="18">
        <f>SUM(H41:H43)</f>
        <v>219699297.64</v>
      </c>
      <c r="I44" s="17"/>
      <c r="J44" s="17"/>
    </row>
    <row r="45" spans="1:10" ht="15">
      <c r="A45" s="38"/>
      <c r="B45" s="2"/>
      <c r="C45" s="2"/>
      <c r="D45" s="2"/>
      <c r="E45" s="2"/>
      <c r="F45" s="2"/>
      <c r="G45" s="32"/>
      <c r="H45" s="2"/>
      <c r="I45" s="2"/>
      <c r="J45" s="2"/>
    </row>
    <row r="46" spans="1:10" ht="25.5">
      <c r="A46" s="39"/>
      <c r="B46" s="40" t="s">
        <v>225</v>
      </c>
      <c r="C46" s="108"/>
      <c r="D46" s="108"/>
      <c r="E46" s="108"/>
      <c r="F46" s="108"/>
      <c r="G46" s="42">
        <f>G36+G44</f>
        <v>261714065.64</v>
      </c>
      <c r="H46" s="42"/>
      <c r="I46" s="62"/>
      <c r="J46" s="63"/>
    </row>
  </sheetData>
  <sheetProtection/>
  <mergeCells count="43"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J48" sqref="J48"/>
    </sheetView>
  </sheetViews>
  <sheetFormatPr defaultColWidth="9.140625" defaultRowHeight="15"/>
  <cols>
    <col min="2" max="2" width="16.00390625" style="0" bestFit="1" customWidth="1"/>
    <col min="7" max="7" width="15.8515625" style="0" bestFit="1" customWidth="1"/>
    <col min="8" max="8" width="10.8515625" style="0" bestFit="1" customWidth="1"/>
    <col min="9" max="9" width="9.8515625" style="0" bestFit="1" customWidth="1"/>
    <col min="10" max="10" width="6.28125" style="0" bestFit="1" customWidth="1"/>
  </cols>
  <sheetData>
    <row r="1" spans="1:10" ht="15">
      <c r="A1" s="119" t="s">
        <v>233</v>
      </c>
      <c r="B1" s="119"/>
      <c r="C1" s="119"/>
      <c r="D1" s="119"/>
      <c r="E1" s="119"/>
      <c r="F1" s="119"/>
      <c r="G1" s="119"/>
      <c r="H1" s="2"/>
      <c r="I1" s="2"/>
      <c r="J1" s="2"/>
    </row>
    <row r="2" spans="1:10" ht="15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15">
      <c r="A3" s="124" t="s">
        <v>232</v>
      </c>
      <c r="B3" s="124"/>
      <c r="C3" s="124"/>
      <c r="D3" s="124"/>
      <c r="E3" s="124"/>
      <c r="F3" s="124"/>
      <c r="G3" s="124"/>
      <c r="H3" s="3"/>
      <c r="I3" s="3"/>
      <c r="J3" s="3"/>
    </row>
    <row r="4" spans="1:10" ht="15">
      <c r="A4" s="125" t="s">
        <v>2</v>
      </c>
      <c r="B4" s="126"/>
      <c r="C4" s="126"/>
      <c r="D4" s="126"/>
      <c r="E4" s="126"/>
      <c r="F4" s="126"/>
      <c r="G4" s="126"/>
      <c r="H4" s="3"/>
      <c r="I4" s="3"/>
      <c r="J4" s="3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38.2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38.25">
      <c r="A7" s="5" t="s">
        <v>11</v>
      </c>
      <c r="B7" s="6" t="s">
        <v>12</v>
      </c>
      <c r="C7" s="127" t="s">
        <v>13</v>
      </c>
      <c r="D7" s="128"/>
      <c r="E7" s="128"/>
      <c r="F7" s="129"/>
      <c r="G7" s="8">
        <f>35514800+67043973+25483850+6773800+3386900+876960+2656320+2980080+2167200</f>
        <v>146883883</v>
      </c>
      <c r="H7" s="8">
        <f>G7</f>
        <v>146883883</v>
      </c>
      <c r="I7" s="8"/>
      <c r="J7" s="9"/>
    </row>
    <row r="8" spans="1:10" ht="25.5">
      <c r="A8" s="5" t="s">
        <v>14</v>
      </c>
      <c r="B8" s="6" t="s">
        <v>15</v>
      </c>
      <c r="C8" s="7" t="s">
        <v>16</v>
      </c>
      <c r="D8" s="7"/>
      <c r="E8" s="7"/>
      <c r="F8" s="7"/>
      <c r="G8" s="8">
        <f>6784000</f>
        <v>6784000</v>
      </c>
      <c r="H8" s="8">
        <v>0</v>
      </c>
      <c r="I8" s="8">
        <f>G8</f>
        <v>6784000</v>
      </c>
      <c r="J8" s="9"/>
    </row>
    <row r="9" spans="1:10" ht="38.25">
      <c r="A9" s="5" t="s">
        <v>17</v>
      </c>
      <c r="B9" s="6" t="s">
        <v>234</v>
      </c>
      <c r="C9" s="7" t="s">
        <v>19</v>
      </c>
      <c r="D9" s="7"/>
      <c r="E9" s="7"/>
      <c r="F9" s="7"/>
      <c r="G9" s="8"/>
      <c r="H9" s="8">
        <f aca="true" t="shared" si="0" ref="H9:H17">G9</f>
        <v>0</v>
      </c>
      <c r="I9" s="9"/>
      <c r="J9" s="9"/>
    </row>
    <row r="10" spans="1:10" ht="15">
      <c r="A10" s="5" t="s">
        <v>20</v>
      </c>
      <c r="B10" s="6" t="s">
        <v>21</v>
      </c>
      <c r="C10" s="7" t="s">
        <v>22</v>
      </c>
      <c r="D10" s="7"/>
      <c r="E10" s="7"/>
      <c r="F10" s="7"/>
      <c r="G10" s="8">
        <f>4497945</f>
        <v>4497945</v>
      </c>
      <c r="H10" s="8">
        <f t="shared" si="0"/>
        <v>4497945</v>
      </c>
      <c r="I10" s="9"/>
      <c r="J10" s="9"/>
    </row>
    <row r="11" spans="1:10" ht="25.5">
      <c r="A11" s="5" t="s">
        <v>23</v>
      </c>
      <c r="B11" s="10" t="s">
        <v>24</v>
      </c>
      <c r="C11" s="106" t="s">
        <v>25</v>
      </c>
      <c r="D11" s="106"/>
      <c r="E11" s="106"/>
      <c r="F11" s="106"/>
      <c r="G11" s="8">
        <f>1056000+2496000</f>
        <v>3552000</v>
      </c>
      <c r="H11" s="8">
        <f t="shared" si="0"/>
        <v>3552000</v>
      </c>
      <c r="I11" s="9"/>
      <c r="J11" s="9"/>
    </row>
    <row r="12" spans="1:10" ht="25.5">
      <c r="A12" s="5" t="s">
        <v>26</v>
      </c>
      <c r="B12" s="10" t="s">
        <v>27</v>
      </c>
      <c r="C12" s="7" t="s">
        <v>28</v>
      </c>
      <c r="D12" s="7"/>
      <c r="E12" s="7"/>
      <c r="F12" s="7"/>
      <c r="G12" s="8">
        <v>0</v>
      </c>
      <c r="H12" s="8">
        <f t="shared" si="0"/>
        <v>0</v>
      </c>
      <c r="I12" s="9"/>
      <c r="J12" s="9"/>
    </row>
    <row r="13" spans="1:10" ht="25.5">
      <c r="A13" s="5" t="s">
        <v>29</v>
      </c>
      <c r="B13" s="10" t="s">
        <v>30</v>
      </c>
      <c r="C13" s="106" t="s">
        <v>31</v>
      </c>
      <c r="D13" s="106"/>
      <c r="E13" s="106"/>
      <c r="F13" s="106"/>
      <c r="G13" s="8">
        <f>1553880</f>
        <v>1553880</v>
      </c>
      <c r="H13" s="8">
        <f t="shared" si="0"/>
        <v>1553880</v>
      </c>
      <c r="I13" s="9"/>
      <c r="J13" s="9"/>
    </row>
    <row r="14" spans="1:10" ht="25.5">
      <c r="A14" s="5" t="s">
        <v>32</v>
      </c>
      <c r="B14" s="10" t="s">
        <v>33</v>
      </c>
      <c r="C14" s="7" t="s">
        <v>34</v>
      </c>
      <c r="D14" s="7"/>
      <c r="E14" s="7"/>
      <c r="F14" s="7"/>
      <c r="G14" s="8">
        <f>312000+132000</f>
        <v>444000</v>
      </c>
      <c r="H14" s="8">
        <v>0</v>
      </c>
      <c r="I14" s="8">
        <f>G14</f>
        <v>444000</v>
      </c>
      <c r="J14" s="9"/>
    </row>
    <row r="15" spans="1:10" ht="25.5">
      <c r="A15" s="5" t="s">
        <v>35</v>
      </c>
      <c r="B15" s="10" t="s">
        <v>36</v>
      </c>
      <c r="C15" s="7" t="s">
        <v>37</v>
      </c>
      <c r="D15" s="7"/>
      <c r="E15" s="7"/>
      <c r="F15" s="7"/>
      <c r="G15" s="8">
        <v>0</v>
      </c>
      <c r="H15" s="8">
        <f t="shared" si="0"/>
        <v>0</v>
      </c>
      <c r="I15" s="9"/>
      <c r="J15" s="9"/>
    </row>
    <row r="16" spans="1:10" ht="38.25">
      <c r="A16" s="5" t="s">
        <v>38</v>
      </c>
      <c r="B16" s="10" t="s">
        <v>39</v>
      </c>
      <c r="C16" s="106" t="s">
        <v>40</v>
      </c>
      <c r="D16" s="106"/>
      <c r="E16" s="106"/>
      <c r="F16" s="106"/>
      <c r="G16" s="8"/>
      <c r="H16" s="8">
        <f t="shared" si="0"/>
        <v>0</v>
      </c>
      <c r="I16" s="9"/>
      <c r="J16" s="9"/>
    </row>
    <row r="17" spans="1:10" ht="76.5">
      <c r="A17" s="5" t="s">
        <v>41</v>
      </c>
      <c r="B17" s="10" t="s">
        <v>42</v>
      </c>
      <c r="C17" s="106" t="s">
        <v>43</v>
      </c>
      <c r="D17" s="106"/>
      <c r="E17" s="106"/>
      <c r="F17" s="106"/>
      <c r="G17" s="11">
        <f>4400500</f>
        <v>4400500</v>
      </c>
      <c r="H17" s="8">
        <f t="shared" si="0"/>
        <v>4400500</v>
      </c>
      <c r="I17" s="12"/>
      <c r="J17" s="12"/>
    </row>
    <row r="18" spans="1:10" ht="25.5">
      <c r="A18" s="5" t="s">
        <v>44</v>
      </c>
      <c r="B18" s="10" t="s">
        <v>45</v>
      </c>
      <c r="C18" s="106" t="s">
        <v>46</v>
      </c>
      <c r="D18" s="106"/>
      <c r="E18" s="106"/>
      <c r="F18" s="106"/>
      <c r="G18" s="8"/>
      <c r="H18" s="8">
        <v>0</v>
      </c>
      <c r="I18" s="9"/>
      <c r="J18" s="9"/>
    </row>
    <row r="19" spans="1:10" ht="25.5">
      <c r="A19" s="13" t="s">
        <v>47</v>
      </c>
      <c r="B19" s="14" t="s">
        <v>48</v>
      </c>
      <c r="C19" s="110" t="s">
        <v>49</v>
      </c>
      <c r="D19" s="110"/>
      <c r="E19" s="110"/>
      <c r="F19" s="110"/>
      <c r="G19" s="15">
        <f>SUM(G7:G18)</f>
        <v>168116208</v>
      </c>
      <c r="H19" s="15">
        <f>SUM(H7:H18)</f>
        <v>160888208</v>
      </c>
      <c r="I19" s="15">
        <f>SUM(I7:I18)</f>
        <v>7228000</v>
      </c>
      <c r="J19" s="15">
        <f>SUM(J7:J18)</f>
        <v>0</v>
      </c>
    </row>
    <row r="20" spans="1:10" ht="51">
      <c r="A20" s="13" t="s">
        <v>50</v>
      </c>
      <c r="B20" s="14" t="s">
        <v>51</v>
      </c>
      <c r="C20" s="110" t="s">
        <v>52</v>
      </c>
      <c r="D20" s="110"/>
      <c r="E20" s="110"/>
      <c r="F20" s="110"/>
      <c r="G20" s="18">
        <f>((G7+G10+G15+G8+G17+G14)*0.13)+(G11*0.28)</f>
        <v>22185902.64</v>
      </c>
      <c r="H20" s="18">
        <f>((H7+H10+H15+H17)*0.13)+(H11*0.28)</f>
        <v>21246262.64</v>
      </c>
      <c r="I20" s="18">
        <f>G20-H20</f>
        <v>939640</v>
      </c>
      <c r="J20" s="18">
        <v>0</v>
      </c>
    </row>
    <row r="21" spans="1:10" ht="25.5">
      <c r="A21" s="5" t="s">
        <v>53</v>
      </c>
      <c r="B21" s="10" t="s">
        <v>54</v>
      </c>
      <c r="C21" s="106" t="s">
        <v>55</v>
      </c>
      <c r="D21" s="106"/>
      <c r="E21" s="106"/>
      <c r="F21" s="106"/>
      <c r="G21" s="72">
        <f>(650000+200000)/1.27</f>
        <v>669291.3385826772</v>
      </c>
      <c r="H21" s="73">
        <f>G21</f>
        <v>669291.3385826772</v>
      </c>
      <c r="I21" s="9"/>
      <c r="J21" s="9"/>
    </row>
    <row r="22" spans="1:10" ht="38.25">
      <c r="A22" s="5" t="s">
        <v>56</v>
      </c>
      <c r="B22" s="10" t="s">
        <v>57</v>
      </c>
      <c r="C22" s="7" t="s">
        <v>58</v>
      </c>
      <c r="D22" s="7"/>
      <c r="E22" s="7"/>
      <c r="F22" s="7"/>
      <c r="G22" s="72">
        <f>M30</f>
        <v>0</v>
      </c>
      <c r="H22" s="73">
        <f aca="true" t="shared" si="1" ref="H22:H32">G22</f>
        <v>0</v>
      </c>
      <c r="I22" s="9"/>
      <c r="J22" s="9"/>
    </row>
    <row r="23" spans="1:10" ht="38.25">
      <c r="A23" s="5" t="s">
        <v>59</v>
      </c>
      <c r="B23" s="10" t="s">
        <v>60</v>
      </c>
      <c r="C23" s="106" t="s">
        <v>61</v>
      </c>
      <c r="D23" s="106"/>
      <c r="E23" s="106"/>
      <c r="F23" s="106"/>
      <c r="G23" s="8">
        <f>312195/1.27</f>
        <v>245822.8346456693</v>
      </c>
      <c r="H23" s="73">
        <f t="shared" si="1"/>
        <v>245822.8346456693</v>
      </c>
      <c r="I23" s="9"/>
      <c r="J23" s="9"/>
    </row>
    <row r="24" spans="1:10" ht="38.25">
      <c r="A24" s="5" t="s">
        <v>62</v>
      </c>
      <c r="B24" s="10" t="s">
        <v>63</v>
      </c>
      <c r="C24" s="106" t="s">
        <v>64</v>
      </c>
      <c r="D24" s="106"/>
      <c r="E24" s="106"/>
      <c r="F24" s="106"/>
      <c r="G24" s="72">
        <f>800000/1.27</f>
        <v>629921.2598425196</v>
      </c>
      <c r="H24" s="73">
        <f t="shared" si="1"/>
        <v>629921.2598425196</v>
      </c>
      <c r="I24" s="9"/>
      <c r="J24" s="9"/>
    </row>
    <row r="25" spans="1:10" ht="15">
      <c r="A25" s="5" t="s">
        <v>65</v>
      </c>
      <c r="B25" s="19" t="s">
        <v>66</v>
      </c>
      <c r="C25" s="106" t="s">
        <v>67</v>
      </c>
      <c r="D25" s="106"/>
      <c r="E25" s="106"/>
      <c r="F25" s="106"/>
      <c r="G25" s="72">
        <f>5200000+2000000</f>
        <v>7200000</v>
      </c>
      <c r="H25" s="73">
        <f t="shared" si="1"/>
        <v>7200000</v>
      </c>
      <c r="I25" s="9"/>
      <c r="J25" s="9"/>
    </row>
    <row r="26" spans="1:10" ht="38.25">
      <c r="A26" s="5" t="s">
        <v>68</v>
      </c>
      <c r="B26" s="19" t="s">
        <v>69</v>
      </c>
      <c r="C26" s="106" t="s">
        <v>70</v>
      </c>
      <c r="D26" s="106"/>
      <c r="E26" s="106"/>
      <c r="F26" s="106"/>
      <c r="G26" s="72">
        <f>(840000+1500000)/1.27</f>
        <v>1842519.68503937</v>
      </c>
      <c r="H26" s="73">
        <f t="shared" si="1"/>
        <v>1842519.68503937</v>
      </c>
      <c r="I26" s="9"/>
      <c r="J26" s="9"/>
    </row>
    <row r="27" spans="1:10" ht="25.5">
      <c r="A27" s="5" t="s">
        <v>71</v>
      </c>
      <c r="B27" s="19" t="s">
        <v>72</v>
      </c>
      <c r="C27" s="7" t="s">
        <v>73</v>
      </c>
      <c r="D27" s="7"/>
      <c r="E27" s="7"/>
      <c r="F27" s="7"/>
      <c r="G27" s="8"/>
      <c r="H27" s="73">
        <f t="shared" si="1"/>
        <v>0</v>
      </c>
      <c r="I27" s="9"/>
      <c r="J27" s="9"/>
    </row>
    <row r="28" spans="1:10" ht="51">
      <c r="A28" s="5" t="s">
        <v>74</v>
      </c>
      <c r="B28" s="19" t="s">
        <v>75</v>
      </c>
      <c r="C28" s="106" t="s">
        <v>76</v>
      </c>
      <c r="D28" s="106"/>
      <c r="E28" s="106"/>
      <c r="F28" s="106"/>
      <c r="G28" s="8">
        <f>(1785000+545000)/1.27</f>
        <v>1834645.6692913387</v>
      </c>
      <c r="H28" s="73">
        <f t="shared" si="1"/>
        <v>1834645.6692913387</v>
      </c>
      <c r="I28" s="9"/>
      <c r="J28" s="9"/>
    </row>
    <row r="29" spans="1:10" ht="25.5">
      <c r="A29" s="5" t="s">
        <v>77</v>
      </c>
      <c r="B29" s="19" t="s">
        <v>78</v>
      </c>
      <c r="C29" s="106" t="s">
        <v>79</v>
      </c>
      <c r="D29" s="106"/>
      <c r="E29" s="106"/>
      <c r="F29" s="106"/>
      <c r="G29" s="8">
        <f>(2735760+1600000)/1.27</f>
        <v>3413984.251968504</v>
      </c>
      <c r="H29" s="73">
        <f t="shared" si="1"/>
        <v>3413984.251968504</v>
      </c>
      <c r="I29" s="9"/>
      <c r="J29" s="9"/>
    </row>
    <row r="30" spans="1:10" ht="25.5">
      <c r="A30" s="5" t="s">
        <v>80</v>
      </c>
      <c r="B30" s="19" t="s">
        <v>81</v>
      </c>
      <c r="C30" s="7" t="s">
        <v>82</v>
      </c>
      <c r="D30" s="7"/>
      <c r="E30" s="7"/>
      <c r="F30" s="7"/>
      <c r="G30" s="8"/>
      <c r="H30" s="73">
        <f t="shared" si="1"/>
        <v>0</v>
      </c>
      <c r="I30" s="9"/>
      <c r="J30" s="9"/>
    </row>
    <row r="31" spans="1:10" ht="63.75">
      <c r="A31" s="5" t="s">
        <v>83</v>
      </c>
      <c r="B31" s="19" t="s">
        <v>84</v>
      </c>
      <c r="C31" s="106" t="s">
        <v>85</v>
      </c>
      <c r="D31" s="106"/>
      <c r="E31" s="106"/>
      <c r="F31" s="106"/>
      <c r="G31" s="8">
        <f>((G21+G23+G24+G25+G26+G28+G29)*0.27)+O30</f>
        <v>4275769.960629921</v>
      </c>
      <c r="H31" s="73">
        <f t="shared" si="1"/>
        <v>4275769.960629921</v>
      </c>
      <c r="I31" s="9"/>
      <c r="J31" s="9"/>
    </row>
    <row r="32" spans="1:10" ht="25.5">
      <c r="A32" s="5" t="s">
        <v>86</v>
      </c>
      <c r="B32" s="21" t="s">
        <v>87</v>
      </c>
      <c r="C32" s="106" t="s">
        <v>88</v>
      </c>
      <c r="D32" s="106"/>
      <c r="E32" s="106"/>
      <c r="F32" s="106"/>
      <c r="G32" s="11"/>
      <c r="H32" s="73">
        <f t="shared" si="1"/>
        <v>0</v>
      </c>
      <c r="I32" s="9"/>
      <c r="J32" s="9"/>
    </row>
    <row r="33" spans="1:10" ht="15">
      <c r="A33" s="13" t="s">
        <v>89</v>
      </c>
      <c r="B33" s="14" t="s">
        <v>90</v>
      </c>
      <c r="C33" s="110" t="s">
        <v>91</v>
      </c>
      <c r="D33" s="110"/>
      <c r="E33" s="110"/>
      <c r="F33" s="110"/>
      <c r="G33" s="18">
        <f>SUM(G21:G32)</f>
        <v>20111955</v>
      </c>
      <c r="H33" s="18">
        <f>SUM(H21:H32)</f>
        <v>20111955</v>
      </c>
      <c r="I33" s="18">
        <f>SUM(I21:I32)</f>
        <v>0</v>
      </c>
      <c r="J33" s="18">
        <f>SUM(J21:J32)</f>
        <v>0</v>
      </c>
    </row>
    <row r="34" spans="1:10" ht="38.25">
      <c r="A34" s="5" t="s">
        <v>92</v>
      </c>
      <c r="B34" s="10" t="s">
        <v>93</v>
      </c>
      <c r="C34" s="7" t="s">
        <v>94</v>
      </c>
      <c r="D34" s="22"/>
      <c r="E34" s="22"/>
      <c r="F34" s="22"/>
      <c r="G34" s="59"/>
      <c r="H34" s="9"/>
      <c r="I34" s="9"/>
      <c r="J34" s="9"/>
    </row>
    <row r="35" spans="1:10" ht="38.25">
      <c r="A35" s="5" t="s">
        <v>95</v>
      </c>
      <c r="B35" s="10" t="s">
        <v>96</v>
      </c>
      <c r="C35" s="7" t="s">
        <v>97</v>
      </c>
      <c r="D35" s="22"/>
      <c r="E35" s="22"/>
      <c r="F35" s="22"/>
      <c r="G35" s="59"/>
      <c r="H35" s="9"/>
      <c r="I35" s="9"/>
      <c r="J35" s="9"/>
    </row>
    <row r="36" spans="1:10" ht="25.5">
      <c r="A36" s="13" t="s">
        <v>98</v>
      </c>
      <c r="B36" s="14" t="s">
        <v>99</v>
      </c>
      <c r="C36" s="23" t="s">
        <v>100</v>
      </c>
      <c r="D36" s="23"/>
      <c r="E36" s="23"/>
      <c r="F36" s="23"/>
      <c r="G36" s="18">
        <f>SUM(G34:G35)</f>
        <v>0</v>
      </c>
      <c r="H36" s="18">
        <f>SUM(H34:H35)</f>
        <v>0</v>
      </c>
      <c r="I36" s="18">
        <f>SUM(I34:I35)</f>
        <v>0</v>
      </c>
      <c r="J36" s="18">
        <f>SUM(J34:J35)</f>
        <v>0</v>
      </c>
    </row>
    <row r="37" spans="1:10" ht="51">
      <c r="A37" s="5" t="s">
        <v>101</v>
      </c>
      <c r="B37" s="10" t="s">
        <v>102</v>
      </c>
      <c r="C37" s="7" t="s">
        <v>103</v>
      </c>
      <c r="D37" s="22"/>
      <c r="E37" s="22"/>
      <c r="F37" s="22"/>
      <c r="G37" s="59"/>
      <c r="H37" s="9"/>
      <c r="I37" s="9"/>
      <c r="J37" s="9"/>
    </row>
    <row r="38" spans="1:10" ht="51">
      <c r="A38" s="5" t="s">
        <v>104</v>
      </c>
      <c r="B38" s="10" t="s">
        <v>105</v>
      </c>
      <c r="C38" s="7" t="s">
        <v>106</v>
      </c>
      <c r="D38" s="22"/>
      <c r="E38" s="22"/>
      <c r="F38" s="22"/>
      <c r="G38" s="59"/>
      <c r="H38" s="9"/>
      <c r="I38" s="9"/>
      <c r="J38" s="9"/>
    </row>
    <row r="39" spans="1:10" ht="15">
      <c r="A39" s="5" t="s">
        <v>107</v>
      </c>
      <c r="B39" s="10" t="s">
        <v>108</v>
      </c>
      <c r="C39" s="7" t="s">
        <v>109</v>
      </c>
      <c r="D39" s="22"/>
      <c r="E39" s="22"/>
      <c r="F39" s="22"/>
      <c r="G39" s="59"/>
      <c r="H39" s="9"/>
      <c r="I39" s="9"/>
      <c r="J39" s="9"/>
    </row>
    <row r="40" spans="1:10" ht="25.5">
      <c r="A40" s="13" t="s">
        <v>110</v>
      </c>
      <c r="B40" s="24" t="s">
        <v>111</v>
      </c>
      <c r="C40" s="23" t="s">
        <v>112</v>
      </c>
      <c r="D40" s="23"/>
      <c r="E40" s="23"/>
      <c r="F40" s="23"/>
      <c r="G40" s="18">
        <f>SUM(G37:G39)</f>
        <v>0</v>
      </c>
      <c r="H40" s="18">
        <f>SUM(H37:H39)</f>
        <v>0</v>
      </c>
      <c r="I40" s="18">
        <f>SUM(I37:I39)</f>
        <v>0</v>
      </c>
      <c r="J40" s="18">
        <f>SUM(J37:J39)</f>
        <v>0</v>
      </c>
    </row>
    <row r="41" spans="1:10" ht="38.25">
      <c r="A41" s="25" t="s">
        <v>113</v>
      </c>
      <c r="B41" s="26" t="s">
        <v>235</v>
      </c>
      <c r="C41" s="27" t="s">
        <v>236</v>
      </c>
      <c r="D41" s="27"/>
      <c r="E41" s="27"/>
      <c r="F41" s="27"/>
      <c r="G41" s="28">
        <f>800000/1.27</f>
        <v>629921.2598425196</v>
      </c>
      <c r="H41" s="74"/>
      <c r="I41" s="28">
        <v>3200000</v>
      </c>
      <c r="J41" s="74"/>
    </row>
    <row r="42" spans="1:10" ht="51">
      <c r="A42" s="25" t="s">
        <v>116</v>
      </c>
      <c r="B42" s="10" t="s">
        <v>117</v>
      </c>
      <c r="C42" s="7" t="s">
        <v>118</v>
      </c>
      <c r="D42" s="22"/>
      <c r="E42" s="22"/>
      <c r="F42" s="22"/>
      <c r="G42" s="11">
        <f>1500000/1.27</f>
        <v>1181102.3622047245</v>
      </c>
      <c r="H42" s="9">
        <v>0</v>
      </c>
      <c r="I42" s="29">
        <f>G42</f>
        <v>1181102.3622047245</v>
      </c>
      <c r="J42" s="9"/>
    </row>
    <row r="43" spans="1:10" ht="63.75">
      <c r="A43" s="25" t="s">
        <v>119</v>
      </c>
      <c r="B43" s="10" t="s">
        <v>120</v>
      </c>
      <c r="C43" s="7" t="s">
        <v>121</v>
      </c>
      <c r="D43" s="22"/>
      <c r="E43" s="22"/>
      <c r="F43" s="22"/>
      <c r="G43" s="11">
        <f>(G41+G42)*0.27</f>
        <v>488976.37795275595</v>
      </c>
      <c r="H43" s="9">
        <v>0</v>
      </c>
      <c r="I43" s="29">
        <f>G43</f>
        <v>488976.37795275595</v>
      </c>
      <c r="J43" s="9"/>
    </row>
    <row r="44" spans="1:10" ht="15">
      <c r="A44" s="25" t="s">
        <v>122</v>
      </c>
      <c r="B44" s="14" t="s">
        <v>123</v>
      </c>
      <c r="C44" s="23" t="s">
        <v>124</v>
      </c>
      <c r="D44" s="23"/>
      <c r="E44" s="23"/>
      <c r="F44" s="23"/>
      <c r="G44" s="18">
        <f>SUM(G41:G43)</f>
        <v>2300000</v>
      </c>
      <c r="H44" s="18">
        <f>SUM(H41:H43)</f>
        <v>0</v>
      </c>
      <c r="I44" s="18">
        <f>SUM(I41:I43)</f>
        <v>4870078.740157481</v>
      </c>
      <c r="J44" s="18">
        <f>SUM(J41:J43)</f>
        <v>0</v>
      </c>
    </row>
    <row r="45" spans="1:10" ht="25.5">
      <c r="A45" s="25" t="s">
        <v>125</v>
      </c>
      <c r="B45" s="10" t="s">
        <v>126</v>
      </c>
      <c r="C45" s="7" t="s">
        <v>127</v>
      </c>
      <c r="D45" s="22"/>
      <c r="E45" s="22"/>
      <c r="F45" s="22"/>
      <c r="G45" s="59"/>
      <c r="H45" s="9"/>
      <c r="I45" s="9"/>
      <c r="J45" s="9"/>
    </row>
    <row r="46" spans="1:10" ht="63.75">
      <c r="A46" s="25" t="s">
        <v>128</v>
      </c>
      <c r="B46" s="10" t="s">
        <v>129</v>
      </c>
      <c r="C46" s="7" t="s">
        <v>130</v>
      </c>
      <c r="D46" s="7"/>
      <c r="E46" s="7"/>
      <c r="F46" s="7"/>
      <c r="G46" s="11"/>
      <c r="H46" s="9"/>
      <c r="I46" s="9"/>
      <c r="J46" s="9"/>
    </row>
    <row r="47" spans="1:10" ht="15">
      <c r="A47" s="25" t="s">
        <v>131</v>
      </c>
      <c r="B47" s="14" t="s">
        <v>132</v>
      </c>
      <c r="C47" s="23" t="s">
        <v>133</v>
      </c>
      <c r="D47" s="23"/>
      <c r="E47" s="23"/>
      <c r="F47" s="23"/>
      <c r="G47" s="18">
        <f>SUM(G45:G46)</f>
        <v>0</v>
      </c>
      <c r="H47" s="18">
        <f>SUM(H45:H46)</f>
        <v>0</v>
      </c>
      <c r="I47" s="18">
        <f>SUM(I45:I46)</f>
        <v>0</v>
      </c>
      <c r="J47" s="18">
        <f>SUM(J45:J46)</f>
        <v>0</v>
      </c>
    </row>
    <row r="48" spans="1:10" ht="76.5">
      <c r="A48" s="25" t="s">
        <v>134</v>
      </c>
      <c r="B48" s="10" t="s">
        <v>135</v>
      </c>
      <c r="C48" s="7" t="s">
        <v>136</v>
      </c>
      <c r="D48" s="7"/>
      <c r="E48" s="7"/>
      <c r="F48" s="7"/>
      <c r="G48" s="11"/>
      <c r="H48" s="9"/>
      <c r="I48" s="9"/>
      <c r="J48" s="9"/>
    </row>
    <row r="49" spans="1:10" ht="25.5">
      <c r="A49" s="25" t="s">
        <v>137</v>
      </c>
      <c r="B49" s="14" t="s">
        <v>138</v>
      </c>
      <c r="C49" s="23" t="s">
        <v>139</v>
      </c>
      <c r="D49" s="23"/>
      <c r="E49" s="23"/>
      <c r="F49" s="23"/>
      <c r="G49" s="18">
        <f>SUM(G48)</f>
        <v>0</v>
      </c>
      <c r="H49" s="18">
        <f>SUM(H48)</f>
        <v>0</v>
      </c>
      <c r="I49" s="18">
        <f>SUM(I48)</f>
        <v>0</v>
      </c>
      <c r="J49" s="18">
        <f>SUM(J48)</f>
        <v>0</v>
      </c>
    </row>
    <row r="50" spans="1:10" ht="25.5">
      <c r="A50" s="25" t="s">
        <v>140</v>
      </c>
      <c r="B50" s="30" t="s">
        <v>141</v>
      </c>
      <c r="C50" s="110" t="s">
        <v>142</v>
      </c>
      <c r="D50" s="110"/>
      <c r="E50" s="110"/>
      <c r="F50" s="110"/>
      <c r="G50" s="18">
        <f>G19+G20+G33+G36+G40+G44+G47+G49</f>
        <v>212714065.64</v>
      </c>
      <c r="H50" s="18">
        <f>H19+H20+H33+H36+H40+H44+H47+H49</f>
        <v>202246425.64</v>
      </c>
      <c r="I50" s="18">
        <f>I19+I20+I33+I36+I40+I44+I47+I49</f>
        <v>13037718.740157481</v>
      </c>
      <c r="J50" s="18">
        <f>J19+J20+J33+J36+J40+J44+J47+J49</f>
        <v>0</v>
      </c>
    </row>
    <row r="51" spans="1:10" ht="15">
      <c r="A51" s="31"/>
      <c r="B51" s="2"/>
      <c r="C51" s="2"/>
      <c r="D51" s="2"/>
      <c r="E51" s="2"/>
      <c r="F51" s="2"/>
      <c r="G51" s="32"/>
      <c r="H51" s="2"/>
      <c r="I51" s="2"/>
      <c r="J51" s="2"/>
    </row>
    <row r="52" spans="1:10" ht="15">
      <c r="A52" s="123" t="s">
        <v>143</v>
      </c>
      <c r="B52" s="123"/>
      <c r="C52" s="123"/>
      <c r="D52" s="123"/>
      <c r="E52" s="123"/>
      <c r="F52" s="123"/>
      <c r="G52" s="123"/>
      <c r="H52" s="33"/>
      <c r="I52" s="33"/>
      <c r="J52" s="33"/>
    </row>
    <row r="53" spans="1:10" ht="15">
      <c r="A53" s="112" t="s">
        <v>3</v>
      </c>
      <c r="B53" s="113" t="s">
        <v>4</v>
      </c>
      <c r="C53" s="114" t="s">
        <v>5</v>
      </c>
      <c r="D53" s="114"/>
      <c r="E53" s="114"/>
      <c r="F53" s="114"/>
      <c r="G53" s="115" t="s">
        <v>144</v>
      </c>
      <c r="H53" s="3"/>
      <c r="I53" s="3"/>
      <c r="J53" s="3"/>
    </row>
    <row r="54" spans="1:10" ht="15">
      <c r="A54" s="112"/>
      <c r="B54" s="113"/>
      <c r="C54" s="114"/>
      <c r="D54" s="114"/>
      <c r="E54" s="114"/>
      <c r="F54" s="114"/>
      <c r="G54" s="115"/>
      <c r="H54" s="2"/>
      <c r="I54" s="2"/>
      <c r="J54" s="2"/>
    </row>
    <row r="55" spans="1:10" ht="51">
      <c r="A55" s="5" t="s">
        <v>140</v>
      </c>
      <c r="B55" s="19" t="s">
        <v>145</v>
      </c>
      <c r="C55" s="127" t="s">
        <v>146</v>
      </c>
      <c r="D55" s="128"/>
      <c r="E55" s="128"/>
      <c r="F55" s="129"/>
      <c r="G55" s="8"/>
      <c r="H55" s="36"/>
      <c r="I55" s="36"/>
      <c r="J55" s="36"/>
    </row>
    <row r="56" spans="1:10" ht="38.25">
      <c r="A56" s="5" t="s">
        <v>147</v>
      </c>
      <c r="B56" s="19" t="s">
        <v>148</v>
      </c>
      <c r="C56" s="106" t="s">
        <v>149</v>
      </c>
      <c r="D56" s="106"/>
      <c r="E56" s="106"/>
      <c r="F56" s="106"/>
      <c r="G56" s="8"/>
      <c r="H56" s="36"/>
      <c r="I56" s="36"/>
      <c r="J56" s="36"/>
    </row>
    <row r="57" spans="1:10" ht="25.5">
      <c r="A57" s="13" t="s">
        <v>150</v>
      </c>
      <c r="B57" s="30" t="s">
        <v>151</v>
      </c>
      <c r="C57" s="110" t="s">
        <v>152</v>
      </c>
      <c r="D57" s="110"/>
      <c r="E57" s="110"/>
      <c r="F57" s="110"/>
      <c r="G57" s="18">
        <f>SUM(G55:G56)</f>
        <v>0</v>
      </c>
      <c r="H57" s="36"/>
      <c r="I57" s="36"/>
      <c r="J57" s="36"/>
    </row>
    <row r="58" spans="1:10" ht="15">
      <c r="A58" s="38"/>
      <c r="B58" s="2"/>
      <c r="C58" s="2"/>
      <c r="D58" s="2"/>
      <c r="E58" s="2"/>
      <c r="F58" s="2"/>
      <c r="G58" s="32"/>
      <c r="H58" s="2"/>
      <c r="I58" s="2"/>
      <c r="J58" s="2"/>
    </row>
  </sheetData>
  <sheetProtection/>
  <mergeCells count="35">
    <mergeCell ref="A1:G1"/>
    <mergeCell ref="A3:G3"/>
    <mergeCell ref="A4:G4"/>
    <mergeCell ref="A5:A6"/>
    <mergeCell ref="B5:B6"/>
    <mergeCell ref="C5:F6"/>
    <mergeCell ref="G5:G6"/>
    <mergeCell ref="H5:J5"/>
    <mergeCell ref="C7:F7"/>
    <mergeCell ref="C11:F11"/>
    <mergeCell ref="C13:F13"/>
    <mergeCell ref="C16:F16"/>
    <mergeCell ref="C17:F17"/>
    <mergeCell ref="C18:F18"/>
    <mergeCell ref="C19:F19"/>
    <mergeCell ref="C20:F20"/>
    <mergeCell ref="C21:F21"/>
    <mergeCell ref="C23:F23"/>
    <mergeCell ref="C24:F24"/>
    <mergeCell ref="C25:F25"/>
    <mergeCell ref="C26:F26"/>
    <mergeCell ref="C28:F28"/>
    <mergeCell ref="C29:F29"/>
    <mergeCell ref="C31:F31"/>
    <mergeCell ref="C32:F32"/>
    <mergeCell ref="C55:F55"/>
    <mergeCell ref="C56:F56"/>
    <mergeCell ref="C57:F57"/>
    <mergeCell ref="C33:F33"/>
    <mergeCell ref="C50:F50"/>
    <mergeCell ref="A52:G52"/>
    <mergeCell ref="A53:A54"/>
    <mergeCell ref="B53:B54"/>
    <mergeCell ref="C53:F54"/>
    <mergeCell ref="G53:G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00390625" style="0" bestFit="1" customWidth="1"/>
    <col min="2" max="2" width="9.00390625" style="0" customWidth="1"/>
    <col min="7" max="7" width="15.8515625" style="0" bestFit="1" customWidth="1"/>
    <col min="8" max="8" width="9.8515625" style="0" bestFit="1" customWidth="1"/>
    <col min="9" max="9" width="9.7109375" style="0" customWidth="1"/>
    <col min="10" max="10" width="6.28125" style="0" bestFit="1" customWidth="1"/>
  </cols>
  <sheetData>
    <row r="1" spans="1:10" ht="15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24" t="s">
        <v>232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155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51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114.75">
      <c r="A7" s="5" t="s">
        <v>11</v>
      </c>
      <c r="B7" s="6" t="s">
        <v>156</v>
      </c>
      <c r="C7" s="106" t="s">
        <v>157</v>
      </c>
      <c r="D7" s="106"/>
      <c r="E7" s="106"/>
      <c r="F7" s="106"/>
      <c r="G7" s="8"/>
      <c r="H7" s="9"/>
      <c r="I7" s="9"/>
      <c r="J7" s="9"/>
    </row>
    <row r="8" spans="1:10" ht="140.25">
      <c r="A8" s="5" t="s">
        <v>14</v>
      </c>
      <c r="B8" s="10" t="s">
        <v>158</v>
      </c>
      <c r="C8" s="106" t="s">
        <v>159</v>
      </c>
      <c r="D8" s="106"/>
      <c r="E8" s="106"/>
      <c r="F8" s="106"/>
      <c r="G8" s="8"/>
      <c r="H8" s="9"/>
      <c r="I8" s="9"/>
      <c r="J8" s="9"/>
    </row>
    <row r="9" spans="1:10" ht="165.75">
      <c r="A9" s="5" t="s">
        <v>17</v>
      </c>
      <c r="B9" s="10" t="s">
        <v>160</v>
      </c>
      <c r="C9" s="106" t="s">
        <v>161</v>
      </c>
      <c r="D9" s="106"/>
      <c r="E9" s="106"/>
      <c r="F9" s="106"/>
      <c r="G9" s="8"/>
      <c r="H9" s="9"/>
      <c r="I9" s="9"/>
      <c r="J9" s="9"/>
    </row>
    <row r="10" spans="1:10" ht="140.2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178.5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127.5">
      <c r="A12" s="5" t="s">
        <v>26</v>
      </c>
      <c r="B12" s="10" t="s">
        <v>166</v>
      </c>
      <c r="C12" s="106" t="s">
        <v>167</v>
      </c>
      <c r="D12" s="106"/>
      <c r="E12" s="106"/>
      <c r="F12" s="106"/>
      <c r="G12" s="8"/>
      <c r="H12" s="9"/>
      <c r="I12" s="9"/>
      <c r="J12" s="9"/>
    </row>
    <row r="13" spans="1:10" ht="76.5">
      <c r="A13" s="5" t="s">
        <v>29</v>
      </c>
      <c r="B13" s="10" t="s">
        <v>168</v>
      </c>
      <c r="C13" s="106" t="s">
        <v>169</v>
      </c>
      <c r="D13" s="106"/>
      <c r="E13" s="106"/>
      <c r="F13" s="106"/>
      <c r="G13" s="8"/>
      <c r="H13" s="9"/>
      <c r="I13" s="9"/>
      <c r="J13" s="9"/>
    </row>
    <row r="14" spans="1:10" ht="127.5">
      <c r="A14" s="5" t="s">
        <v>32</v>
      </c>
      <c r="B14" s="10" t="s">
        <v>170</v>
      </c>
      <c r="C14" s="106" t="s">
        <v>171</v>
      </c>
      <c r="D14" s="106"/>
      <c r="E14" s="106"/>
      <c r="F14" s="106"/>
      <c r="G14" s="8"/>
      <c r="H14" s="9"/>
      <c r="I14" s="9"/>
      <c r="J14" s="9"/>
    </row>
    <row r="15" spans="1:10" ht="140.25">
      <c r="A15" s="13" t="s">
        <v>35</v>
      </c>
      <c r="B15" s="14" t="s">
        <v>172</v>
      </c>
      <c r="C15" s="110" t="s">
        <v>173</v>
      </c>
      <c r="D15" s="110"/>
      <c r="E15" s="110"/>
      <c r="F15" s="110"/>
      <c r="G15" s="18">
        <f>SUM(G7:G14)</f>
        <v>0</v>
      </c>
      <c r="H15" s="17"/>
      <c r="I15" s="17"/>
      <c r="J15" s="17"/>
    </row>
    <row r="16" spans="1:10" ht="140.25">
      <c r="A16" s="5" t="s">
        <v>38</v>
      </c>
      <c r="B16" s="10" t="s">
        <v>174</v>
      </c>
      <c r="C16" s="106" t="s">
        <v>175</v>
      </c>
      <c r="D16" s="106"/>
      <c r="E16" s="106"/>
      <c r="F16" s="106"/>
      <c r="G16" s="8"/>
      <c r="H16" s="12"/>
      <c r="I16" s="12"/>
      <c r="J16" s="12"/>
    </row>
    <row r="17" spans="1:10" ht="140.25">
      <c r="A17" s="13" t="s">
        <v>41</v>
      </c>
      <c r="B17" s="14" t="s">
        <v>176</v>
      </c>
      <c r="C17" s="110" t="s">
        <v>177</v>
      </c>
      <c r="D17" s="110"/>
      <c r="E17" s="110"/>
      <c r="F17" s="110"/>
      <c r="G17" s="18">
        <f>SUM(G16)</f>
        <v>0</v>
      </c>
      <c r="H17" s="17"/>
      <c r="I17" s="17"/>
      <c r="J17" s="17"/>
    </row>
    <row r="18" spans="1:10" ht="38.25">
      <c r="A18" s="5" t="s">
        <v>44</v>
      </c>
      <c r="B18" s="10" t="s">
        <v>178</v>
      </c>
      <c r="C18" s="106" t="s">
        <v>179</v>
      </c>
      <c r="D18" s="106"/>
      <c r="E18" s="106"/>
      <c r="F18" s="106"/>
      <c r="G18" s="8"/>
      <c r="H18" s="9"/>
      <c r="I18" s="9"/>
      <c r="J18" s="9"/>
    </row>
    <row r="19" spans="1:10" ht="51">
      <c r="A19" s="5" t="s">
        <v>47</v>
      </c>
      <c r="B19" s="10" t="s">
        <v>180</v>
      </c>
      <c r="C19" s="106" t="s">
        <v>181</v>
      </c>
      <c r="D19" s="106"/>
      <c r="E19" s="106"/>
      <c r="F19" s="106"/>
      <c r="G19" s="8"/>
      <c r="H19" s="9"/>
      <c r="I19" s="9"/>
      <c r="J19" s="9"/>
    </row>
    <row r="20" spans="1:10" ht="25.5">
      <c r="A20" s="5" t="s">
        <v>50</v>
      </c>
      <c r="B20" s="10" t="s">
        <v>182</v>
      </c>
      <c r="C20" s="106" t="s">
        <v>183</v>
      </c>
      <c r="D20" s="106"/>
      <c r="E20" s="106"/>
      <c r="F20" s="106"/>
      <c r="G20" s="8"/>
      <c r="H20" s="9"/>
      <c r="I20" s="9"/>
      <c r="J20" s="9"/>
    </row>
    <row r="21" spans="1:10" ht="63.75">
      <c r="A21" s="5" t="s">
        <v>53</v>
      </c>
      <c r="B21" s="10" t="s">
        <v>184</v>
      </c>
      <c r="C21" s="106" t="s">
        <v>185</v>
      </c>
      <c r="D21" s="106"/>
      <c r="E21" s="106"/>
      <c r="F21" s="106"/>
      <c r="G21" s="8"/>
      <c r="H21" s="9"/>
      <c r="I21" s="9"/>
      <c r="J21" s="9"/>
    </row>
    <row r="22" spans="1:10" ht="76.5">
      <c r="A22" s="13" t="s">
        <v>56</v>
      </c>
      <c r="B22" s="14" t="s">
        <v>186</v>
      </c>
      <c r="C22" s="110" t="s">
        <v>187</v>
      </c>
      <c r="D22" s="110"/>
      <c r="E22" s="110"/>
      <c r="F22" s="110"/>
      <c r="G22" s="18">
        <f>SUM(G18:G21)</f>
        <v>0</v>
      </c>
      <c r="H22" s="17"/>
      <c r="I22" s="17"/>
      <c r="J22" s="17"/>
    </row>
    <row r="23" spans="1:10" ht="63.75">
      <c r="A23" s="5" t="s">
        <v>59</v>
      </c>
      <c r="B23" s="19" t="s">
        <v>188</v>
      </c>
      <c r="C23" s="106" t="s">
        <v>189</v>
      </c>
      <c r="D23" s="106"/>
      <c r="E23" s="106"/>
      <c r="F23" s="106"/>
      <c r="G23" s="8"/>
      <c r="H23" s="9"/>
      <c r="I23" s="9"/>
      <c r="J23" s="9"/>
    </row>
    <row r="24" spans="1:10" ht="51">
      <c r="A24" s="5" t="s">
        <v>62</v>
      </c>
      <c r="B24" s="19" t="s">
        <v>190</v>
      </c>
      <c r="C24" s="106" t="s">
        <v>191</v>
      </c>
      <c r="D24" s="106"/>
      <c r="E24" s="106"/>
      <c r="F24" s="106"/>
      <c r="G24" s="75">
        <v>0</v>
      </c>
      <c r="H24" s="8">
        <v>0</v>
      </c>
      <c r="I24" s="8">
        <v>0</v>
      </c>
      <c r="J24" s="9"/>
    </row>
    <row r="25" spans="1:10" ht="76.5">
      <c r="A25" s="5" t="s">
        <v>65</v>
      </c>
      <c r="B25" s="19" t="s">
        <v>192</v>
      </c>
      <c r="C25" s="106" t="s">
        <v>193</v>
      </c>
      <c r="D25" s="106"/>
      <c r="E25" s="106"/>
      <c r="F25" s="106"/>
      <c r="G25" s="8"/>
      <c r="H25" s="9"/>
      <c r="I25" s="12"/>
      <c r="J25" s="9"/>
    </row>
    <row r="26" spans="1:10" ht="38.25">
      <c r="A26" s="5" t="s">
        <v>68</v>
      </c>
      <c r="B26" s="19" t="s">
        <v>194</v>
      </c>
      <c r="C26" s="106" t="s">
        <v>195</v>
      </c>
      <c r="D26" s="106"/>
      <c r="E26" s="106"/>
      <c r="F26" s="106"/>
      <c r="G26" s="8"/>
      <c r="H26" s="9"/>
      <c r="I26" s="9"/>
      <c r="J26" s="9"/>
    </row>
    <row r="27" spans="1:10" ht="25.5">
      <c r="A27" s="5" t="s">
        <v>71</v>
      </c>
      <c r="B27" s="19" t="s">
        <v>196</v>
      </c>
      <c r="C27" s="106" t="s">
        <v>197</v>
      </c>
      <c r="D27" s="106"/>
      <c r="E27" s="106"/>
      <c r="F27" s="106"/>
      <c r="G27" s="8">
        <f>612*81*24</f>
        <v>1189728</v>
      </c>
      <c r="H27" s="8">
        <f>G27</f>
        <v>1189728</v>
      </c>
      <c r="I27" s="9"/>
      <c r="J27" s="9"/>
    </row>
    <row r="28" spans="1:10" ht="63.75">
      <c r="A28" s="5" t="s">
        <v>74</v>
      </c>
      <c r="B28" s="19" t="s">
        <v>198</v>
      </c>
      <c r="C28" s="106" t="s">
        <v>199</v>
      </c>
      <c r="D28" s="106"/>
      <c r="E28" s="106"/>
      <c r="F28" s="106"/>
      <c r="G28" s="8">
        <f>G27*0.27</f>
        <v>321226.56</v>
      </c>
      <c r="H28" s="8">
        <f>G28</f>
        <v>321226.56</v>
      </c>
      <c r="I28" s="8">
        <v>0</v>
      </c>
      <c r="J28" s="9"/>
    </row>
    <row r="29" spans="1:10" ht="51">
      <c r="A29" s="13" t="s">
        <v>77</v>
      </c>
      <c r="B29" s="48" t="s">
        <v>200</v>
      </c>
      <c r="C29" s="110" t="s">
        <v>201</v>
      </c>
      <c r="D29" s="110"/>
      <c r="E29" s="110"/>
      <c r="F29" s="110"/>
      <c r="G29" s="18">
        <f>SUM(G23:G28)</f>
        <v>1510954.56</v>
      </c>
      <c r="H29" s="18">
        <f>SUM(H23:H28)</f>
        <v>1510954.56</v>
      </c>
      <c r="I29" s="18">
        <f>SUM(I23:I28)</f>
        <v>0</v>
      </c>
      <c r="J29" s="17"/>
    </row>
    <row r="30" spans="1:10" ht="51">
      <c r="A30" s="49" t="s">
        <v>80</v>
      </c>
      <c r="B30" s="21" t="s">
        <v>202</v>
      </c>
      <c r="C30" s="7" t="s">
        <v>203</v>
      </c>
      <c r="D30" s="22"/>
      <c r="E30" s="22"/>
      <c r="F30" s="22"/>
      <c r="G30" s="59"/>
      <c r="H30" s="9"/>
      <c r="I30" s="9"/>
      <c r="J30" s="9"/>
    </row>
    <row r="31" spans="1:10" ht="38.25">
      <c r="A31" s="13" t="s">
        <v>83</v>
      </c>
      <c r="B31" s="48" t="s">
        <v>204</v>
      </c>
      <c r="C31" s="23" t="s">
        <v>203</v>
      </c>
      <c r="D31" s="23"/>
      <c r="E31" s="23"/>
      <c r="F31" s="23"/>
      <c r="G31" s="18"/>
      <c r="H31" s="17"/>
      <c r="I31" s="17"/>
      <c r="J31" s="17"/>
    </row>
    <row r="32" spans="1:10" ht="153">
      <c r="A32" s="5" t="s">
        <v>86</v>
      </c>
      <c r="B32" s="10" t="s">
        <v>206</v>
      </c>
      <c r="C32" s="106" t="s">
        <v>207</v>
      </c>
      <c r="D32" s="106"/>
      <c r="E32" s="106"/>
      <c r="F32" s="106"/>
      <c r="G32" s="8"/>
      <c r="H32" s="9"/>
      <c r="I32" s="9"/>
      <c r="J32" s="9"/>
    </row>
    <row r="33" spans="1:10" ht="63.75">
      <c r="A33" s="13" t="s">
        <v>89</v>
      </c>
      <c r="B33" s="14" t="s">
        <v>208</v>
      </c>
      <c r="C33" s="110" t="s">
        <v>209</v>
      </c>
      <c r="D33" s="110"/>
      <c r="E33" s="110"/>
      <c r="F33" s="110"/>
      <c r="G33" s="18">
        <f>SUM(G32)</f>
        <v>0</v>
      </c>
      <c r="H33" s="17"/>
      <c r="I33" s="17"/>
      <c r="J33" s="17"/>
    </row>
    <row r="34" spans="1:10" ht="76.5">
      <c r="A34" s="5" t="s">
        <v>92</v>
      </c>
      <c r="B34" s="10" t="s">
        <v>210</v>
      </c>
      <c r="C34" s="22" t="s">
        <v>211</v>
      </c>
      <c r="D34" s="22"/>
      <c r="E34" s="22"/>
      <c r="F34" s="22"/>
      <c r="G34" s="59"/>
      <c r="H34" s="9"/>
      <c r="I34" s="9"/>
      <c r="J34" s="9"/>
    </row>
    <row r="35" spans="1:10" ht="63.75">
      <c r="A35" s="13" t="s">
        <v>95</v>
      </c>
      <c r="B35" s="14" t="s">
        <v>212</v>
      </c>
      <c r="C35" s="110" t="s">
        <v>213</v>
      </c>
      <c r="D35" s="110"/>
      <c r="E35" s="110"/>
      <c r="F35" s="110"/>
      <c r="G35" s="18">
        <f>SUM(G34)</f>
        <v>0</v>
      </c>
      <c r="H35" s="60"/>
      <c r="I35" s="60"/>
      <c r="J35" s="60"/>
    </row>
    <row r="36" spans="1:10" ht="76.5">
      <c r="A36" s="13" t="s">
        <v>98</v>
      </c>
      <c r="B36" s="30" t="s">
        <v>214</v>
      </c>
      <c r="C36" s="110" t="s">
        <v>215</v>
      </c>
      <c r="D36" s="110"/>
      <c r="E36" s="110"/>
      <c r="F36" s="110"/>
      <c r="G36" s="18">
        <f>G15+G17+G22+G29+G33+G35</f>
        <v>1510954.56</v>
      </c>
      <c r="H36" s="18">
        <f>H35+H33+H31+H29+H22+H17+H15</f>
        <v>1510954.56</v>
      </c>
      <c r="I36" s="18">
        <f>I35+I33+I31+I29+I22+I17+I15</f>
        <v>0</v>
      </c>
      <c r="J36" s="17"/>
    </row>
    <row r="37" spans="1:10" ht="15">
      <c r="A37" s="31"/>
      <c r="B37" s="2"/>
      <c r="C37" s="2"/>
      <c r="D37" s="2"/>
      <c r="E37" s="2"/>
      <c r="F37" s="2"/>
      <c r="G37" s="32"/>
      <c r="H37" s="2"/>
      <c r="I37" s="2"/>
      <c r="J37" s="2"/>
    </row>
    <row r="38" spans="1:10" ht="15">
      <c r="A38" s="123" t="s">
        <v>216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>
      <c r="A39" s="112" t="s">
        <v>3</v>
      </c>
      <c r="B39" s="113" t="s">
        <v>4</v>
      </c>
      <c r="C39" s="114" t="s">
        <v>5</v>
      </c>
      <c r="D39" s="114"/>
      <c r="E39" s="114"/>
      <c r="F39" s="114"/>
      <c r="G39" s="115" t="s">
        <v>144</v>
      </c>
      <c r="H39" s="116" t="s">
        <v>7</v>
      </c>
      <c r="I39" s="117"/>
      <c r="J39" s="118"/>
    </row>
    <row r="40" spans="1:10" ht="38.25">
      <c r="A40" s="112"/>
      <c r="B40" s="113"/>
      <c r="C40" s="114"/>
      <c r="D40" s="114"/>
      <c r="E40" s="114"/>
      <c r="F40" s="114"/>
      <c r="G40" s="115"/>
      <c r="H40" s="4" t="s">
        <v>8</v>
      </c>
      <c r="I40" s="4" t="s">
        <v>9</v>
      </c>
      <c r="J40" s="4" t="s">
        <v>10</v>
      </c>
    </row>
    <row r="41" spans="1:10" ht="89.25">
      <c r="A41" s="5" t="s">
        <v>101</v>
      </c>
      <c r="B41" s="19" t="s">
        <v>217</v>
      </c>
      <c r="C41" s="106" t="s">
        <v>218</v>
      </c>
      <c r="D41" s="106"/>
      <c r="E41" s="106"/>
      <c r="F41" s="106"/>
      <c r="G41" s="8">
        <v>0</v>
      </c>
      <c r="H41" s="8">
        <v>0</v>
      </c>
      <c r="I41" s="12"/>
      <c r="J41" s="12"/>
    </row>
    <row r="42" spans="1:10" ht="51">
      <c r="A42" s="5" t="s">
        <v>104</v>
      </c>
      <c r="B42" s="19" t="s">
        <v>219</v>
      </c>
      <c r="C42" s="106" t="s">
        <v>220</v>
      </c>
      <c r="D42" s="106"/>
      <c r="E42" s="106"/>
      <c r="F42" s="106"/>
      <c r="G42" s="8"/>
      <c r="H42" s="12"/>
      <c r="I42" s="12"/>
      <c r="J42" s="12"/>
    </row>
    <row r="43" spans="1:10" ht="51">
      <c r="A43" s="5" t="s">
        <v>107</v>
      </c>
      <c r="B43" s="19" t="s">
        <v>221</v>
      </c>
      <c r="C43" s="53" t="s">
        <v>222</v>
      </c>
      <c r="D43" s="54"/>
      <c r="E43" s="54"/>
      <c r="F43" s="55"/>
      <c r="G43" s="8">
        <f>'[2]bölcőde kiad.'!G49-G36-H50-'[2]bölcőde kiad.'!G17</f>
        <v>19702555.290000003</v>
      </c>
      <c r="H43" s="8">
        <f>G43</f>
        <v>19702555.290000003</v>
      </c>
      <c r="I43" s="12"/>
      <c r="J43" s="12"/>
    </row>
    <row r="44" spans="1:10" ht="38.25">
      <c r="A44" s="13" t="s">
        <v>110</v>
      </c>
      <c r="B44" s="30" t="s">
        <v>223</v>
      </c>
      <c r="C44" s="107" t="s">
        <v>224</v>
      </c>
      <c r="D44" s="108"/>
      <c r="E44" s="108"/>
      <c r="F44" s="109"/>
      <c r="G44" s="18">
        <f>SUM(G41:G43)</f>
        <v>19702555.290000003</v>
      </c>
      <c r="H44" s="18">
        <f>SUM(H41:H43)</f>
        <v>19702555.290000003</v>
      </c>
      <c r="I44" s="17"/>
      <c r="J44" s="17"/>
    </row>
    <row r="45" spans="1:10" ht="15">
      <c r="A45" s="38"/>
      <c r="B45" s="2"/>
      <c r="C45" s="2"/>
      <c r="D45" s="2"/>
      <c r="E45" s="2"/>
      <c r="F45" s="2"/>
      <c r="G45" s="32"/>
      <c r="H45" s="2"/>
      <c r="I45" s="2"/>
      <c r="J45" s="2"/>
    </row>
    <row r="46" spans="1:10" ht="38.25">
      <c r="A46" s="39"/>
      <c r="B46" s="40" t="s">
        <v>225</v>
      </c>
      <c r="C46" s="108"/>
      <c r="D46" s="108"/>
      <c r="E46" s="108"/>
      <c r="F46" s="108"/>
      <c r="G46" s="42">
        <f>G36+G44</f>
        <v>21213509.85</v>
      </c>
      <c r="H46" s="42"/>
      <c r="I46" s="62"/>
      <c r="J46" s="63"/>
    </row>
  </sheetData>
  <sheetProtection/>
  <mergeCells count="43"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9.421875" style="0" customWidth="1"/>
    <col min="2" max="2" width="16.140625" style="0" customWidth="1"/>
    <col min="6" max="6" width="9.57421875" style="0" customWidth="1"/>
    <col min="7" max="7" width="15.8515625" style="0" bestFit="1" customWidth="1"/>
    <col min="8" max="8" width="9.8515625" style="0" bestFit="1" customWidth="1"/>
    <col min="9" max="9" width="8.8515625" style="0" bestFit="1" customWidth="1"/>
    <col min="10" max="10" width="6.28125" style="0" bestFit="1" customWidth="1"/>
  </cols>
  <sheetData>
    <row r="1" spans="1:9" ht="15">
      <c r="A1" s="119" t="s">
        <v>237</v>
      </c>
      <c r="B1" s="144"/>
      <c r="C1" s="144"/>
      <c r="D1" s="144"/>
      <c r="E1" s="144"/>
      <c r="F1" s="144"/>
      <c r="G1" s="144"/>
      <c r="H1" s="144"/>
      <c r="I1" s="144"/>
    </row>
    <row r="2" spans="1:9" ht="15">
      <c r="A2" s="145" t="s">
        <v>2</v>
      </c>
      <c r="B2" s="146"/>
      <c r="C2" s="146"/>
      <c r="D2" s="146"/>
      <c r="E2" s="146"/>
      <c r="F2" s="146"/>
      <c r="G2" s="146"/>
      <c r="H2" s="76"/>
      <c r="I2" s="76"/>
    </row>
    <row r="3" spans="1:9" ht="15">
      <c r="A3" s="134" t="s">
        <v>3</v>
      </c>
      <c r="B3" s="131" t="s">
        <v>4</v>
      </c>
      <c r="C3" s="135" t="s">
        <v>5</v>
      </c>
      <c r="D3" s="135"/>
      <c r="E3" s="135"/>
      <c r="F3" s="135"/>
      <c r="G3" s="136" t="s">
        <v>144</v>
      </c>
      <c r="H3" s="77" t="s">
        <v>7</v>
      </c>
      <c r="I3" s="78"/>
    </row>
    <row r="4" spans="1:9" ht="38.25">
      <c r="A4" s="134"/>
      <c r="B4" s="131"/>
      <c r="C4" s="135"/>
      <c r="D4" s="135"/>
      <c r="E4" s="135"/>
      <c r="F4" s="135"/>
      <c r="G4" s="136"/>
      <c r="H4" s="79" t="s">
        <v>8</v>
      </c>
      <c r="I4" s="79" t="s">
        <v>9</v>
      </c>
    </row>
    <row r="5" spans="1:9" ht="38.25">
      <c r="A5" s="80" t="s">
        <v>11</v>
      </c>
      <c r="B5" s="81" t="s">
        <v>12</v>
      </c>
      <c r="C5" s="137" t="s">
        <v>13</v>
      </c>
      <c r="D5" s="138"/>
      <c r="E5" s="138"/>
      <c r="F5" s="139"/>
      <c r="G5" s="8">
        <v>10523828</v>
      </c>
      <c r="H5" s="8">
        <f>G5</f>
        <v>10523828</v>
      </c>
      <c r="I5" s="8"/>
    </row>
    <row r="6" spans="1:9" ht="25.5">
      <c r="A6" s="80" t="s">
        <v>14</v>
      </c>
      <c r="B6" s="81" t="s">
        <v>15</v>
      </c>
      <c r="C6" s="137" t="s">
        <v>16</v>
      </c>
      <c r="D6" s="141"/>
      <c r="E6" s="141"/>
      <c r="F6" s="142"/>
      <c r="G6" s="8">
        <v>0</v>
      </c>
      <c r="H6" s="8">
        <v>0</v>
      </c>
      <c r="I6" s="8">
        <f>G6</f>
        <v>0</v>
      </c>
    </row>
    <row r="7" spans="1:9" ht="38.25">
      <c r="A7" s="80" t="s">
        <v>17</v>
      </c>
      <c r="B7" s="81" t="s">
        <v>234</v>
      </c>
      <c r="C7" s="137" t="s">
        <v>19</v>
      </c>
      <c r="D7" s="141"/>
      <c r="E7" s="141"/>
      <c r="F7" s="142"/>
      <c r="G7" s="8"/>
      <c r="H7" s="8">
        <f aca="true" t="shared" si="0" ref="H7:H15">G7</f>
        <v>0</v>
      </c>
      <c r="I7" s="82"/>
    </row>
    <row r="8" spans="1:9" ht="15">
      <c r="A8" s="80" t="s">
        <v>20</v>
      </c>
      <c r="B8" s="81" t="s">
        <v>21</v>
      </c>
      <c r="C8" s="137" t="s">
        <v>22</v>
      </c>
      <c r="D8" s="141"/>
      <c r="E8" s="141"/>
      <c r="F8" s="142"/>
      <c r="G8" s="8">
        <v>0</v>
      </c>
      <c r="H8" s="8">
        <f t="shared" si="0"/>
        <v>0</v>
      </c>
      <c r="I8" s="82"/>
    </row>
    <row r="9" spans="1:9" ht="25.5">
      <c r="A9" s="80" t="s">
        <v>23</v>
      </c>
      <c r="B9" s="81" t="s">
        <v>24</v>
      </c>
      <c r="C9" s="130" t="s">
        <v>25</v>
      </c>
      <c r="D9" s="130"/>
      <c r="E9" s="130"/>
      <c r="F9" s="130"/>
      <c r="G9" s="8">
        <v>224000</v>
      </c>
      <c r="H9" s="8">
        <f t="shared" si="0"/>
        <v>224000</v>
      </c>
      <c r="I9" s="82"/>
    </row>
    <row r="10" spans="1:9" ht="25.5">
      <c r="A10" s="80" t="s">
        <v>26</v>
      </c>
      <c r="B10" s="81" t="s">
        <v>27</v>
      </c>
      <c r="C10" s="137" t="s">
        <v>28</v>
      </c>
      <c r="D10" s="141"/>
      <c r="E10" s="141"/>
      <c r="F10" s="142"/>
      <c r="G10" s="8">
        <v>0</v>
      </c>
      <c r="H10" s="8">
        <f t="shared" si="0"/>
        <v>0</v>
      </c>
      <c r="I10" s="82"/>
    </row>
    <row r="11" spans="1:9" ht="25.5">
      <c r="A11" s="80" t="s">
        <v>29</v>
      </c>
      <c r="B11" s="81" t="s">
        <v>30</v>
      </c>
      <c r="C11" s="130" t="s">
        <v>31</v>
      </c>
      <c r="D11" s="130"/>
      <c r="E11" s="130"/>
      <c r="F11" s="130"/>
      <c r="G11" s="8">
        <v>0</v>
      </c>
      <c r="H11" s="8">
        <f t="shared" si="0"/>
        <v>0</v>
      </c>
      <c r="I11" s="82"/>
    </row>
    <row r="12" spans="1:9" ht="25.5">
      <c r="A12" s="80" t="s">
        <v>32</v>
      </c>
      <c r="B12" s="81" t="s">
        <v>33</v>
      </c>
      <c r="C12" s="137" t="s">
        <v>34</v>
      </c>
      <c r="D12" s="141"/>
      <c r="E12" s="141"/>
      <c r="F12" s="142"/>
      <c r="G12" s="8">
        <v>0</v>
      </c>
      <c r="H12" s="8">
        <v>0</v>
      </c>
      <c r="I12" s="8">
        <f>G12</f>
        <v>0</v>
      </c>
    </row>
    <row r="13" spans="1:9" ht="25.5">
      <c r="A13" s="80" t="s">
        <v>35</v>
      </c>
      <c r="B13" s="81" t="s">
        <v>36</v>
      </c>
      <c r="C13" s="137" t="s">
        <v>37</v>
      </c>
      <c r="D13" s="141"/>
      <c r="E13" s="141"/>
      <c r="F13" s="142"/>
      <c r="G13" s="8">
        <v>0</v>
      </c>
      <c r="H13" s="8">
        <f t="shared" si="0"/>
        <v>0</v>
      </c>
      <c r="I13" s="82"/>
    </row>
    <row r="14" spans="1:9" ht="38.25">
      <c r="A14" s="80" t="s">
        <v>38</v>
      </c>
      <c r="B14" s="81" t="s">
        <v>39</v>
      </c>
      <c r="C14" s="130" t="s">
        <v>40</v>
      </c>
      <c r="D14" s="130"/>
      <c r="E14" s="130"/>
      <c r="F14" s="130"/>
      <c r="G14" s="8"/>
      <c r="H14" s="8">
        <f t="shared" si="0"/>
        <v>0</v>
      </c>
      <c r="I14" s="82"/>
    </row>
    <row r="15" spans="1:9" ht="76.5">
      <c r="A15" s="80" t="s">
        <v>41</v>
      </c>
      <c r="B15" s="81" t="s">
        <v>42</v>
      </c>
      <c r="C15" s="130" t="s">
        <v>43</v>
      </c>
      <c r="D15" s="130"/>
      <c r="E15" s="130"/>
      <c r="F15" s="130"/>
      <c r="G15" s="11">
        <v>0</v>
      </c>
      <c r="H15" s="8">
        <f t="shared" si="0"/>
        <v>0</v>
      </c>
      <c r="I15" s="84"/>
    </row>
    <row r="16" spans="1:9" ht="25.5">
      <c r="A16" s="80" t="s">
        <v>44</v>
      </c>
      <c r="B16" s="81" t="s">
        <v>45</v>
      </c>
      <c r="C16" s="130" t="s">
        <v>46</v>
      </c>
      <c r="D16" s="130"/>
      <c r="E16" s="130"/>
      <c r="F16" s="130"/>
      <c r="G16" s="8"/>
      <c r="H16" s="8">
        <v>0</v>
      </c>
      <c r="I16" s="82"/>
    </row>
    <row r="17" spans="1:9" ht="25.5">
      <c r="A17" s="85" t="s">
        <v>47</v>
      </c>
      <c r="B17" s="86" t="s">
        <v>48</v>
      </c>
      <c r="C17" s="131" t="s">
        <v>49</v>
      </c>
      <c r="D17" s="131"/>
      <c r="E17" s="131"/>
      <c r="F17" s="131"/>
      <c r="G17" s="15">
        <f>SUM(G5:G16)</f>
        <v>10747828</v>
      </c>
      <c r="H17" s="15">
        <f>SUM(H5:H16)</f>
        <v>10747828</v>
      </c>
      <c r="I17" s="15">
        <f>SUM(I5:I16)</f>
        <v>0</v>
      </c>
    </row>
    <row r="18" spans="1:9" ht="51">
      <c r="A18" s="85" t="s">
        <v>50</v>
      </c>
      <c r="B18" s="86" t="s">
        <v>51</v>
      </c>
      <c r="C18" s="131" t="s">
        <v>52</v>
      </c>
      <c r="D18" s="131"/>
      <c r="E18" s="131"/>
      <c r="F18" s="131"/>
      <c r="G18" s="18">
        <f>((G5+G8+G13+G6+G15+G12)*0.13)+(G9*0.28)</f>
        <v>1430817.6400000001</v>
      </c>
      <c r="H18" s="18">
        <f>((H5+H8+H13+H15)*0.13)+(H9*0.28)</f>
        <v>1430817.6400000001</v>
      </c>
      <c r="I18" s="18">
        <f>G18-H18</f>
        <v>0</v>
      </c>
    </row>
    <row r="19" spans="1:9" ht="25.5">
      <c r="A19" s="80" t="s">
        <v>53</v>
      </c>
      <c r="B19" s="81" t="s">
        <v>54</v>
      </c>
      <c r="C19" s="130" t="s">
        <v>55</v>
      </c>
      <c r="D19" s="130"/>
      <c r="E19" s="130"/>
      <c r="F19" s="130"/>
      <c r="G19" s="87">
        <v>200000</v>
      </c>
      <c r="H19" s="88">
        <f>G19</f>
        <v>200000</v>
      </c>
      <c r="I19" s="82"/>
    </row>
    <row r="20" spans="1:9" ht="38.25">
      <c r="A20" s="80" t="s">
        <v>56</v>
      </c>
      <c r="B20" s="81" t="s">
        <v>57</v>
      </c>
      <c r="C20" s="137" t="s">
        <v>58</v>
      </c>
      <c r="D20" s="141"/>
      <c r="E20" s="141"/>
      <c r="F20" s="142"/>
      <c r="G20" s="87">
        <v>3805000</v>
      </c>
      <c r="H20" s="88">
        <f aca="true" t="shared" si="1" ref="H20:H31">G20</f>
        <v>3805000</v>
      </c>
      <c r="I20" s="82"/>
    </row>
    <row r="21" spans="1:9" ht="38.25">
      <c r="A21" s="80" t="s">
        <v>59</v>
      </c>
      <c r="B21" s="81" t="s">
        <v>60</v>
      </c>
      <c r="C21" s="130" t="s">
        <v>61</v>
      </c>
      <c r="D21" s="130"/>
      <c r="E21" s="130"/>
      <c r="F21" s="130"/>
      <c r="G21" s="8">
        <f>312195</f>
        <v>312195</v>
      </c>
      <c r="H21" s="88">
        <f t="shared" si="1"/>
        <v>312195</v>
      </c>
      <c r="I21" s="82"/>
    </row>
    <row r="22" spans="1:9" ht="38.25">
      <c r="A22" s="80" t="s">
        <v>62</v>
      </c>
      <c r="B22" s="81" t="s">
        <v>63</v>
      </c>
      <c r="C22" s="130" t="s">
        <v>64</v>
      </c>
      <c r="D22" s="130"/>
      <c r="E22" s="130"/>
      <c r="F22" s="130"/>
      <c r="G22" s="87">
        <f>270000</f>
        <v>270000</v>
      </c>
      <c r="H22" s="88">
        <f t="shared" si="1"/>
        <v>270000</v>
      </c>
      <c r="I22" s="82"/>
    </row>
    <row r="23" spans="1:9" ht="15">
      <c r="A23" s="80" t="s">
        <v>65</v>
      </c>
      <c r="B23" s="89" t="s">
        <v>66</v>
      </c>
      <c r="C23" s="130" t="s">
        <v>67</v>
      </c>
      <c r="D23" s="130"/>
      <c r="E23" s="130"/>
      <c r="F23" s="130"/>
      <c r="G23" s="87">
        <v>2400000</v>
      </c>
      <c r="H23" s="88">
        <f t="shared" si="1"/>
        <v>2400000</v>
      </c>
      <c r="I23" s="82"/>
    </row>
    <row r="24" spans="1:9" ht="15">
      <c r="A24" s="80" t="s">
        <v>68</v>
      </c>
      <c r="B24" s="89" t="s">
        <v>238</v>
      </c>
      <c r="C24" s="83" t="s">
        <v>239</v>
      </c>
      <c r="D24" s="83"/>
      <c r="E24" s="83"/>
      <c r="F24" s="83"/>
      <c r="G24" s="87">
        <f>'[2]bölcsőde bev.'!G27</f>
        <v>1189728</v>
      </c>
      <c r="H24" s="88">
        <f>G24</f>
        <v>1189728</v>
      </c>
      <c r="I24" s="82"/>
    </row>
    <row r="25" spans="1:9" ht="38.25">
      <c r="A25" s="80" t="s">
        <v>71</v>
      </c>
      <c r="B25" s="89" t="s">
        <v>69</v>
      </c>
      <c r="C25" s="130" t="s">
        <v>70</v>
      </c>
      <c r="D25" s="130"/>
      <c r="E25" s="130"/>
      <c r="F25" s="130"/>
      <c r="G25" s="87">
        <v>0</v>
      </c>
      <c r="H25" s="88">
        <f t="shared" si="1"/>
        <v>0</v>
      </c>
      <c r="I25" s="82"/>
    </row>
    <row r="26" spans="1:9" ht="25.5">
      <c r="A26" s="80" t="s">
        <v>74</v>
      </c>
      <c r="B26" s="89" t="s">
        <v>72</v>
      </c>
      <c r="C26" s="137" t="s">
        <v>73</v>
      </c>
      <c r="D26" s="141"/>
      <c r="E26" s="141"/>
      <c r="F26" s="142"/>
      <c r="G26" s="8"/>
      <c r="H26" s="88">
        <f t="shared" si="1"/>
        <v>0</v>
      </c>
      <c r="I26" s="82"/>
    </row>
    <row r="27" spans="1:9" ht="51">
      <c r="A27" s="80" t="s">
        <v>77</v>
      </c>
      <c r="B27" s="89" t="s">
        <v>75</v>
      </c>
      <c r="C27" s="130" t="s">
        <v>76</v>
      </c>
      <c r="D27" s="130"/>
      <c r="E27" s="130"/>
      <c r="F27" s="130"/>
      <c r="G27" s="8">
        <v>300000</v>
      </c>
      <c r="H27" s="88">
        <f t="shared" si="1"/>
        <v>300000</v>
      </c>
      <c r="I27" s="82"/>
    </row>
    <row r="28" spans="1:9" ht="25.5">
      <c r="A28" s="80" t="s">
        <v>80</v>
      </c>
      <c r="B28" s="89" t="s">
        <v>78</v>
      </c>
      <c r="C28" s="130" t="s">
        <v>79</v>
      </c>
      <c r="D28" s="130"/>
      <c r="E28" s="130"/>
      <c r="F28" s="130"/>
      <c r="G28" s="8">
        <v>1100000</v>
      </c>
      <c r="H28" s="88">
        <f t="shared" si="1"/>
        <v>1100000</v>
      </c>
      <c r="I28" s="82"/>
    </row>
    <row r="29" spans="1:9" ht="25.5">
      <c r="A29" s="80" t="s">
        <v>83</v>
      </c>
      <c r="B29" s="89" t="s">
        <v>81</v>
      </c>
      <c r="C29" s="137" t="s">
        <v>82</v>
      </c>
      <c r="D29" s="141"/>
      <c r="E29" s="141"/>
      <c r="F29" s="142"/>
      <c r="G29" s="8"/>
      <c r="H29" s="88">
        <f t="shared" si="1"/>
        <v>0</v>
      </c>
      <c r="I29" s="82"/>
    </row>
    <row r="30" spans="1:9" ht="63.75">
      <c r="A30" s="80" t="s">
        <v>86</v>
      </c>
      <c r="B30" s="89" t="s">
        <v>84</v>
      </c>
      <c r="C30" s="130" t="s">
        <v>85</v>
      </c>
      <c r="D30" s="130"/>
      <c r="E30" s="130"/>
      <c r="F30" s="130"/>
      <c r="G30" s="8">
        <f>(G19+G20+G21+G22+G23+G27+G28+G24)*0.27</f>
        <v>2585769.21</v>
      </c>
      <c r="H30" s="88">
        <f t="shared" si="1"/>
        <v>2585769.21</v>
      </c>
      <c r="I30" s="82"/>
    </row>
    <row r="31" spans="1:9" ht="25.5">
      <c r="A31" s="80" t="s">
        <v>89</v>
      </c>
      <c r="B31" s="90" t="s">
        <v>87</v>
      </c>
      <c r="C31" s="130" t="s">
        <v>88</v>
      </c>
      <c r="D31" s="130"/>
      <c r="E31" s="130"/>
      <c r="F31" s="130"/>
      <c r="G31" s="11"/>
      <c r="H31" s="88">
        <f t="shared" si="1"/>
        <v>0</v>
      </c>
      <c r="I31" s="82"/>
    </row>
    <row r="32" spans="1:9" ht="15">
      <c r="A32" s="85" t="s">
        <v>92</v>
      </c>
      <c r="B32" s="86" t="s">
        <v>90</v>
      </c>
      <c r="C32" s="131" t="s">
        <v>91</v>
      </c>
      <c r="D32" s="131"/>
      <c r="E32" s="131"/>
      <c r="F32" s="131"/>
      <c r="G32" s="18">
        <f>SUM(G19:G31)</f>
        <v>12162692.21</v>
      </c>
      <c r="H32" s="18">
        <f>SUM(H19:H31)</f>
        <v>12162692.21</v>
      </c>
      <c r="I32" s="18">
        <f>SUM(I19:I31)</f>
        <v>0</v>
      </c>
    </row>
    <row r="33" spans="1:9" ht="38.25">
      <c r="A33" s="80" t="s">
        <v>95</v>
      </c>
      <c r="B33" s="81" t="s">
        <v>93</v>
      </c>
      <c r="C33" s="137" t="s">
        <v>94</v>
      </c>
      <c r="D33" s="141"/>
      <c r="E33" s="141"/>
      <c r="F33" s="142"/>
      <c r="G33" s="59">
        <v>0</v>
      </c>
      <c r="H33" s="82"/>
      <c r="I33" s="82"/>
    </row>
    <row r="34" spans="1:9" ht="38.25">
      <c r="A34" s="80" t="s">
        <v>98</v>
      </c>
      <c r="B34" s="81" t="s">
        <v>96</v>
      </c>
      <c r="C34" s="137" t="s">
        <v>97</v>
      </c>
      <c r="D34" s="141"/>
      <c r="E34" s="141"/>
      <c r="F34" s="142"/>
      <c r="G34" s="59">
        <v>0</v>
      </c>
      <c r="H34" s="82"/>
      <c r="I34" s="82"/>
    </row>
    <row r="35" spans="1:9" ht="25.5">
      <c r="A35" s="85" t="s">
        <v>101</v>
      </c>
      <c r="B35" s="86" t="s">
        <v>99</v>
      </c>
      <c r="C35" s="91" t="s">
        <v>100</v>
      </c>
      <c r="D35" s="91"/>
      <c r="E35" s="91"/>
      <c r="F35" s="91"/>
      <c r="G35" s="18">
        <f>SUM(G33:G34)</f>
        <v>0</v>
      </c>
      <c r="H35" s="18">
        <f>SUM(H33:H34)</f>
        <v>0</v>
      </c>
      <c r="I35" s="18">
        <f>SUM(I33:I34)</f>
        <v>0</v>
      </c>
    </row>
    <row r="36" spans="1:9" ht="51">
      <c r="A36" s="80" t="s">
        <v>104</v>
      </c>
      <c r="B36" s="81" t="s">
        <v>102</v>
      </c>
      <c r="C36" s="137" t="s">
        <v>103</v>
      </c>
      <c r="D36" s="141"/>
      <c r="E36" s="141"/>
      <c r="F36" s="142"/>
      <c r="G36" s="59"/>
      <c r="H36" s="82"/>
      <c r="I36" s="82"/>
    </row>
    <row r="37" spans="1:9" ht="51">
      <c r="A37" s="80" t="s">
        <v>107</v>
      </c>
      <c r="B37" s="81" t="s">
        <v>105</v>
      </c>
      <c r="C37" s="137" t="s">
        <v>106</v>
      </c>
      <c r="D37" s="141"/>
      <c r="E37" s="141"/>
      <c r="F37" s="142"/>
      <c r="G37" s="59"/>
      <c r="H37" s="82"/>
      <c r="I37" s="82"/>
    </row>
    <row r="38" spans="1:9" ht="15">
      <c r="A38" s="80" t="s">
        <v>107</v>
      </c>
      <c r="B38" s="81" t="s">
        <v>108</v>
      </c>
      <c r="C38" s="137" t="s">
        <v>109</v>
      </c>
      <c r="D38" s="141"/>
      <c r="E38" s="141"/>
      <c r="F38" s="142"/>
      <c r="G38" s="59"/>
      <c r="H38" s="82"/>
      <c r="I38" s="82"/>
    </row>
    <row r="39" spans="1:9" ht="25.5">
      <c r="A39" s="85" t="s">
        <v>113</v>
      </c>
      <c r="B39" s="92" t="s">
        <v>111</v>
      </c>
      <c r="C39" s="143" t="s">
        <v>112</v>
      </c>
      <c r="D39" s="141"/>
      <c r="E39" s="141"/>
      <c r="F39" s="142"/>
      <c r="G39" s="18">
        <f>SUM(G36:G38)</f>
        <v>0</v>
      </c>
      <c r="H39" s="18">
        <f>SUM(H36:H38)</f>
        <v>0</v>
      </c>
      <c r="I39" s="18">
        <f>SUM(I36:I38)</f>
        <v>0</v>
      </c>
    </row>
    <row r="40" spans="1:9" ht="38.25">
      <c r="A40" s="93" t="s">
        <v>116</v>
      </c>
      <c r="B40" s="94" t="s">
        <v>235</v>
      </c>
      <c r="C40" s="140" t="s">
        <v>236</v>
      </c>
      <c r="D40" s="141"/>
      <c r="E40" s="141"/>
      <c r="F40" s="142"/>
      <c r="G40" s="28">
        <v>0</v>
      </c>
      <c r="H40" s="74"/>
      <c r="I40" s="28"/>
    </row>
    <row r="41" spans="1:9" ht="51">
      <c r="A41" s="93" t="s">
        <v>119</v>
      </c>
      <c r="B41" s="81" t="s">
        <v>117</v>
      </c>
      <c r="C41" s="137" t="s">
        <v>118</v>
      </c>
      <c r="D41" s="141"/>
      <c r="E41" s="141"/>
      <c r="F41" s="142"/>
      <c r="G41" s="11">
        <v>6000000</v>
      </c>
      <c r="H41" s="82">
        <v>0</v>
      </c>
      <c r="I41" s="95">
        <f>G41</f>
        <v>6000000</v>
      </c>
    </row>
    <row r="42" spans="1:9" ht="63.75">
      <c r="A42" s="93" t="s">
        <v>122</v>
      </c>
      <c r="B42" s="81" t="s">
        <v>120</v>
      </c>
      <c r="C42" s="137" t="s">
        <v>121</v>
      </c>
      <c r="D42" s="141"/>
      <c r="E42" s="141"/>
      <c r="F42" s="142"/>
      <c r="G42" s="11">
        <f>(G40+G41)*0.27</f>
        <v>1620000</v>
      </c>
      <c r="H42" s="82">
        <v>0</v>
      </c>
      <c r="I42" s="95">
        <f>G42</f>
        <v>1620000</v>
      </c>
    </row>
    <row r="43" spans="1:9" ht="15">
      <c r="A43" s="93" t="s">
        <v>125</v>
      </c>
      <c r="B43" s="86" t="s">
        <v>123</v>
      </c>
      <c r="C43" s="143" t="s">
        <v>124</v>
      </c>
      <c r="D43" s="141"/>
      <c r="E43" s="141"/>
      <c r="F43" s="142"/>
      <c r="G43" s="18">
        <f>SUM(G40:G42)</f>
        <v>7620000</v>
      </c>
      <c r="H43" s="18">
        <f>SUM(H40:H42)</f>
        <v>0</v>
      </c>
      <c r="I43" s="18">
        <f>SUM(I40:I42)</f>
        <v>7620000</v>
      </c>
    </row>
    <row r="44" spans="1:9" ht="25.5">
      <c r="A44" s="93" t="s">
        <v>128</v>
      </c>
      <c r="B44" s="81" t="s">
        <v>126</v>
      </c>
      <c r="C44" s="137" t="s">
        <v>127</v>
      </c>
      <c r="D44" s="141"/>
      <c r="E44" s="141"/>
      <c r="F44" s="142"/>
      <c r="G44" s="59"/>
      <c r="H44" s="82"/>
      <c r="I44" s="82"/>
    </row>
    <row r="45" spans="1:9" ht="63.75">
      <c r="A45" s="93" t="s">
        <v>131</v>
      </c>
      <c r="B45" s="81" t="s">
        <v>129</v>
      </c>
      <c r="C45" s="137" t="s">
        <v>130</v>
      </c>
      <c r="D45" s="141"/>
      <c r="E45" s="141"/>
      <c r="F45" s="142"/>
      <c r="G45" s="11"/>
      <c r="H45" s="82"/>
      <c r="I45" s="82"/>
    </row>
    <row r="46" spans="1:9" ht="15">
      <c r="A46" s="93" t="s">
        <v>134</v>
      </c>
      <c r="B46" s="86" t="s">
        <v>132</v>
      </c>
      <c r="C46" s="143" t="s">
        <v>133</v>
      </c>
      <c r="D46" s="141"/>
      <c r="E46" s="141"/>
      <c r="F46" s="142"/>
      <c r="G46" s="18">
        <f>SUM(G44:G45)</f>
        <v>0</v>
      </c>
      <c r="H46" s="18">
        <f>SUM(H44:H45)</f>
        <v>0</v>
      </c>
      <c r="I46" s="18">
        <f>SUM(I44:I45)</f>
        <v>0</v>
      </c>
    </row>
    <row r="47" spans="1:9" ht="76.5">
      <c r="A47" s="93" t="s">
        <v>137</v>
      </c>
      <c r="B47" s="81" t="s">
        <v>135</v>
      </c>
      <c r="C47" s="137" t="s">
        <v>136</v>
      </c>
      <c r="D47" s="141"/>
      <c r="E47" s="141"/>
      <c r="F47" s="142"/>
      <c r="G47" s="11"/>
      <c r="H47" s="82"/>
      <c r="I47" s="82"/>
    </row>
    <row r="48" spans="1:9" ht="25.5">
      <c r="A48" s="93" t="s">
        <v>140</v>
      </c>
      <c r="B48" s="86" t="s">
        <v>138</v>
      </c>
      <c r="C48" s="143" t="s">
        <v>139</v>
      </c>
      <c r="D48" s="141"/>
      <c r="E48" s="141"/>
      <c r="F48" s="142"/>
      <c r="G48" s="18">
        <f>SUM(G47)</f>
        <v>0</v>
      </c>
      <c r="H48" s="18">
        <f>SUM(H47)</f>
        <v>0</v>
      </c>
      <c r="I48" s="18">
        <f>SUM(I47)</f>
        <v>0</v>
      </c>
    </row>
    <row r="49" spans="1:9" ht="25.5">
      <c r="A49" s="93" t="s">
        <v>147</v>
      </c>
      <c r="B49" s="96" t="s">
        <v>141</v>
      </c>
      <c r="C49" s="131" t="s">
        <v>142</v>
      </c>
      <c r="D49" s="131"/>
      <c r="E49" s="131"/>
      <c r="F49" s="131"/>
      <c r="G49" s="18">
        <f>G17+G18+G32+G35+G39+G43+G46+G48</f>
        <v>31961337.85</v>
      </c>
      <c r="H49" s="18">
        <f>H17+H18+H32+H35+H39+H43+H46+H48</f>
        <v>24341337.85</v>
      </c>
      <c r="I49" s="18">
        <f>I17+I18+I32+I35+I39+I43+I46+I48</f>
        <v>7620000</v>
      </c>
    </row>
    <row r="50" spans="1:9" ht="15">
      <c r="A50" s="97"/>
      <c r="B50" s="98"/>
      <c r="C50" s="98"/>
      <c r="D50" s="98"/>
      <c r="E50" s="98"/>
      <c r="F50" s="98"/>
      <c r="G50" s="98"/>
      <c r="H50" s="98"/>
      <c r="I50" s="98"/>
    </row>
    <row r="51" spans="1:9" ht="15">
      <c r="A51" s="133" t="s">
        <v>143</v>
      </c>
      <c r="B51" s="133"/>
      <c r="C51" s="133"/>
      <c r="D51" s="133"/>
      <c r="E51" s="133"/>
      <c r="F51" s="133"/>
      <c r="G51" s="133"/>
      <c r="H51" s="99"/>
      <c r="I51" s="99"/>
    </row>
    <row r="52" spans="1:9" ht="15">
      <c r="A52" s="134" t="s">
        <v>3</v>
      </c>
      <c r="B52" s="131" t="s">
        <v>4</v>
      </c>
      <c r="C52" s="135" t="s">
        <v>5</v>
      </c>
      <c r="D52" s="135"/>
      <c r="E52" s="135"/>
      <c r="F52" s="135"/>
      <c r="G52" s="136" t="s">
        <v>144</v>
      </c>
      <c r="H52" s="76"/>
      <c r="I52" s="76"/>
    </row>
    <row r="53" spans="1:9" ht="15">
      <c r="A53" s="134"/>
      <c r="B53" s="131"/>
      <c r="C53" s="135"/>
      <c r="D53" s="135"/>
      <c r="E53" s="135"/>
      <c r="F53" s="135"/>
      <c r="G53" s="136"/>
      <c r="H53" s="98"/>
      <c r="I53" s="98"/>
    </row>
    <row r="54" spans="1:9" ht="51">
      <c r="A54" s="80" t="s">
        <v>140</v>
      </c>
      <c r="B54" s="89" t="s">
        <v>145</v>
      </c>
      <c r="C54" s="137" t="s">
        <v>146</v>
      </c>
      <c r="D54" s="138"/>
      <c r="E54" s="138"/>
      <c r="F54" s="139"/>
      <c r="G54" s="8"/>
      <c r="H54" s="100"/>
      <c r="I54" s="100"/>
    </row>
    <row r="55" spans="1:9" ht="38.25">
      <c r="A55" s="80" t="s">
        <v>147</v>
      </c>
      <c r="B55" s="89" t="s">
        <v>148</v>
      </c>
      <c r="C55" s="130" t="s">
        <v>149</v>
      </c>
      <c r="D55" s="130"/>
      <c r="E55" s="130"/>
      <c r="F55" s="130"/>
      <c r="G55" s="8"/>
      <c r="H55" s="100"/>
      <c r="I55" s="100"/>
    </row>
    <row r="56" spans="1:9" ht="25.5">
      <c r="A56" s="85" t="s">
        <v>150</v>
      </c>
      <c r="B56" s="96" t="s">
        <v>151</v>
      </c>
      <c r="C56" s="131" t="s">
        <v>152</v>
      </c>
      <c r="D56" s="131"/>
      <c r="E56" s="131"/>
      <c r="F56" s="131"/>
      <c r="G56" s="18">
        <f>SUM(G54:G55)</f>
        <v>0</v>
      </c>
      <c r="H56" s="100"/>
      <c r="I56" s="100"/>
    </row>
    <row r="57" spans="1:9" ht="15">
      <c r="A57" s="101"/>
      <c r="B57" s="98"/>
      <c r="C57" s="98"/>
      <c r="D57" s="98"/>
      <c r="E57" s="98"/>
      <c r="F57" s="98"/>
      <c r="G57" s="98"/>
      <c r="H57" s="98"/>
      <c r="I57" s="98"/>
    </row>
    <row r="58" spans="1:9" ht="25.5">
      <c r="A58" s="102"/>
      <c r="B58" s="78" t="s">
        <v>153</v>
      </c>
      <c r="C58" s="132"/>
      <c r="D58" s="132"/>
      <c r="E58" s="132"/>
      <c r="F58" s="132"/>
      <c r="G58" s="42">
        <f>G49+G56</f>
        <v>31961337.85</v>
      </c>
      <c r="H58" s="98"/>
      <c r="I58" s="98"/>
    </row>
  </sheetData>
  <sheetProtection/>
  <mergeCells count="58">
    <mergeCell ref="C5:F5"/>
    <mergeCell ref="C6:F6"/>
    <mergeCell ref="C7:F7"/>
    <mergeCell ref="C8:F8"/>
    <mergeCell ref="C9:F9"/>
    <mergeCell ref="C12:F12"/>
    <mergeCell ref="C13:F13"/>
    <mergeCell ref="C14:F14"/>
    <mergeCell ref="C10:F10"/>
    <mergeCell ref="C11:F11"/>
    <mergeCell ref="C15:F15"/>
    <mergeCell ref="C16:F16"/>
    <mergeCell ref="C17:F17"/>
    <mergeCell ref="C18:F18"/>
    <mergeCell ref="C19:F19"/>
    <mergeCell ref="C20:F20"/>
    <mergeCell ref="C31:F31"/>
    <mergeCell ref="C34:F34"/>
    <mergeCell ref="C21:F21"/>
    <mergeCell ref="C22:F22"/>
    <mergeCell ref="C23:F23"/>
    <mergeCell ref="C25:F25"/>
    <mergeCell ref="C26:F26"/>
    <mergeCell ref="C36:F36"/>
    <mergeCell ref="C37:F37"/>
    <mergeCell ref="C38:F38"/>
    <mergeCell ref="C39:F39"/>
    <mergeCell ref="C27:F27"/>
    <mergeCell ref="C28:F28"/>
    <mergeCell ref="C29:F29"/>
    <mergeCell ref="C32:F32"/>
    <mergeCell ref="C33:F33"/>
    <mergeCell ref="C30:F30"/>
    <mergeCell ref="A1:I1"/>
    <mergeCell ref="A2:G2"/>
    <mergeCell ref="A3:A4"/>
    <mergeCell ref="B3:B4"/>
    <mergeCell ref="C3:F4"/>
    <mergeCell ref="G3:G4"/>
    <mergeCell ref="C40:F40"/>
    <mergeCell ref="C43:F43"/>
    <mergeCell ref="C45:F45"/>
    <mergeCell ref="C47:F47"/>
    <mergeCell ref="C48:F48"/>
    <mergeCell ref="C49:F49"/>
    <mergeCell ref="C41:F41"/>
    <mergeCell ref="C42:F42"/>
    <mergeCell ref="C44:F44"/>
    <mergeCell ref="C46:F46"/>
    <mergeCell ref="C55:F55"/>
    <mergeCell ref="C56:F56"/>
    <mergeCell ref="C58:F58"/>
    <mergeCell ref="A51:G51"/>
    <mergeCell ref="A52:A53"/>
    <mergeCell ref="B52:B53"/>
    <mergeCell ref="C52:F53"/>
    <mergeCell ref="G52:G53"/>
    <mergeCell ref="C54:F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3">
      <selection activeCell="H34" sqref="H34"/>
    </sheetView>
  </sheetViews>
  <sheetFormatPr defaultColWidth="9.140625" defaultRowHeight="15"/>
  <cols>
    <col min="2" max="2" width="16.00390625" style="0" bestFit="1" customWidth="1"/>
    <col min="7" max="7" width="15.8515625" style="0" bestFit="1" customWidth="1"/>
    <col min="8" max="8" width="9.8515625" style="0" bestFit="1" customWidth="1"/>
    <col min="9" max="9" width="12.28125" style="0" customWidth="1"/>
    <col min="10" max="10" width="6.28125" style="0" bestFit="1" customWidth="1"/>
  </cols>
  <sheetData>
    <row r="1" spans="1:10" ht="15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24" t="s">
        <v>241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155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12" t="s">
        <v>3</v>
      </c>
      <c r="B5" s="113" t="s">
        <v>4</v>
      </c>
      <c r="C5" s="114" t="s">
        <v>5</v>
      </c>
      <c r="D5" s="114"/>
      <c r="E5" s="114"/>
      <c r="F5" s="114"/>
      <c r="G5" s="115" t="s">
        <v>144</v>
      </c>
      <c r="H5" s="116" t="s">
        <v>7</v>
      </c>
      <c r="I5" s="117"/>
      <c r="J5" s="118"/>
    </row>
    <row r="6" spans="1:10" ht="25.5">
      <c r="A6" s="112"/>
      <c r="B6" s="113"/>
      <c r="C6" s="114"/>
      <c r="D6" s="114"/>
      <c r="E6" s="114"/>
      <c r="F6" s="114"/>
      <c r="G6" s="115"/>
      <c r="H6" s="4" t="s">
        <v>8</v>
      </c>
      <c r="I6" s="4" t="s">
        <v>9</v>
      </c>
      <c r="J6" s="4" t="s">
        <v>10</v>
      </c>
    </row>
    <row r="7" spans="1:10" ht="63.75">
      <c r="A7" s="5" t="s">
        <v>11</v>
      </c>
      <c r="B7" s="6" t="s">
        <v>156</v>
      </c>
      <c r="C7" s="106" t="s">
        <v>157</v>
      </c>
      <c r="D7" s="106"/>
      <c r="E7" s="106"/>
      <c r="F7" s="106"/>
      <c r="G7" s="8"/>
      <c r="H7" s="9"/>
      <c r="I7" s="9"/>
      <c r="J7" s="9"/>
    </row>
    <row r="8" spans="1:10" ht="63.75">
      <c r="A8" s="5" t="s">
        <v>14</v>
      </c>
      <c r="B8" s="10" t="s">
        <v>158</v>
      </c>
      <c r="C8" s="106" t="s">
        <v>159</v>
      </c>
      <c r="D8" s="106"/>
      <c r="E8" s="106"/>
      <c r="F8" s="106"/>
      <c r="G8" s="8"/>
      <c r="H8" s="9"/>
      <c r="I8" s="9"/>
      <c r="J8" s="9"/>
    </row>
    <row r="9" spans="1:10" ht="76.5">
      <c r="A9" s="5" t="s">
        <v>17</v>
      </c>
      <c r="B9" s="10" t="s">
        <v>160</v>
      </c>
      <c r="C9" s="106" t="s">
        <v>161</v>
      </c>
      <c r="D9" s="106"/>
      <c r="E9" s="106"/>
      <c r="F9" s="106"/>
      <c r="G9" s="8"/>
      <c r="H9" s="9"/>
      <c r="I9" s="9"/>
      <c r="J9" s="9"/>
    </row>
    <row r="10" spans="1:10" ht="63.7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89.25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63.75">
      <c r="A12" s="5" t="s">
        <v>26</v>
      </c>
      <c r="B12" s="10" t="s">
        <v>166</v>
      </c>
      <c r="C12" s="106" t="s">
        <v>167</v>
      </c>
      <c r="D12" s="106"/>
      <c r="E12" s="106"/>
      <c r="F12" s="106"/>
      <c r="G12" s="8"/>
      <c r="H12" s="9"/>
      <c r="I12" s="9"/>
      <c r="J12" s="9"/>
    </row>
    <row r="13" spans="1:10" ht="25.5">
      <c r="A13" s="5" t="s">
        <v>29</v>
      </c>
      <c r="B13" s="10" t="s">
        <v>168</v>
      </c>
      <c r="C13" s="106" t="s">
        <v>169</v>
      </c>
      <c r="D13" s="106"/>
      <c r="E13" s="106"/>
      <c r="F13" s="106"/>
      <c r="G13" s="8"/>
      <c r="H13" s="9"/>
      <c r="I13" s="9"/>
      <c r="J13" s="9"/>
    </row>
    <row r="14" spans="1:10" ht="63.75">
      <c r="A14" s="5" t="s">
        <v>32</v>
      </c>
      <c r="B14" s="10" t="s">
        <v>170</v>
      </c>
      <c r="C14" s="106" t="s">
        <v>171</v>
      </c>
      <c r="D14" s="106"/>
      <c r="E14" s="106"/>
      <c r="F14" s="106"/>
      <c r="G14" s="8"/>
      <c r="H14" s="9"/>
      <c r="I14" s="9"/>
      <c r="J14" s="9"/>
    </row>
    <row r="15" spans="1:10" ht="63.75">
      <c r="A15" s="13" t="s">
        <v>35</v>
      </c>
      <c r="B15" s="14" t="s">
        <v>172</v>
      </c>
      <c r="C15" s="110" t="s">
        <v>173</v>
      </c>
      <c r="D15" s="110"/>
      <c r="E15" s="110"/>
      <c r="F15" s="110"/>
      <c r="G15" s="18">
        <f>SUM(G7:G14)</f>
        <v>0</v>
      </c>
      <c r="H15" s="18">
        <v>0</v>
      </c>
      <c r="I15" s="18">
        <v>0</v>
      </c>
      <c r="J15" s="18">
        <v>0</v>
      </c>
    </row>
    <row r="16" spans="1:10" ht="63.75">
      <c r="A16" s="5" t="s">
        <v>38</v>
      </c>
      <c r="B16" s="10" t="s">
        <v>174</v>
      </c>
      <c r="C16" s="106" t="s">
        <v>175</v>
      </c>
      <c r="D16" s="106"/>
      <c r="E16" s="106"/>
      <c r="F16" s="106"/>
      <c r="G16" s="8"/>
      <c r="H16" s="12"/>
      <c r="I16" s="12"/>
      <c r="J16" s="12"/>
    </row>
    <row r="17" spans="1:10" ht="63.75">
      <c r="A17" s="13" t="s">
        <v>41</v>
      </c>
      <c r="B17" s="14" t="s">
        <v>176</v>
      </c>
      <c r="C17" s="110" t="s">
        <v>177</v>
      </c>
      <c r="D17" s="110"/>
      <c r="E17" s="110"/>
      <c r="F17" s="110"/>
      <c r="G17" s="18">
        <f>SUM(G16)</f>
        <v>0</v>
      </c>
      <c r="H17" s="18">
        <v>0</v>
      </c>
      <c r="I17" s="18">
        <v>0</v>
      </c>
      <c r="J17" s="18">
        <v>0</v>
      </c>
    </row>
    <row r="18" spans="1:10" ht="25.5">
      <c r="A18" s="5" t="s">
        <v>44</v>
      </c>
      <c r="B18" s="10" t="s">
        <v>178</v>
      </c>
      <c r="C18" s="106" t="s">
        <v>179</v>
      </c>
      <c r="D18" s="106"/>
      <c r="E18" s="106"/>
      <c r="F18" s="106"/>
      <c r="G18" s="8"/>
      <c r="H18" s="9"/>
      <c r="I18" s="9"/>
      <c r="J18" s="9"/>
    </row>
    <row r="19" spans="1:10" ht="25.5">
      <c r="A19" s="5" t="s">
        <v>47</v>
      </c>
      <c r="B19" s="10" t="s">
        <v>180</v>
      </c>
      <c r="C19" s="106" t="s">
        <v>181</v>
      </c>
      <c r="D19" s="106"/>
      <c r="E19" s="106"/>
      <c r="F19" s="106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106" t="s">
        <v>183</v>
      </c>
      <c r="D20" s="106"/>
      <c r="E20" s="106"/>
      <c r="F20" s="106"/>
      <c r="G20" s="8"/>
      <c r="H20" s="9"/>
      <c r="I20" s="9"/>
      <c r="J20" s="9"/>
    </row>
    <row r="21" spans="1:10" ht="25.5">
      <c r="A21" s="5" t="s">
        <v>53</v>
      </c>
      <c r="B21" s="10" t="s">
        <v>184</v>
      </c>
      <c r="C21" s="106" t="s">
        <v>185</v>
      </c>
      <c r="D21" s="106"/>
      <c r="E21" s="106"/>
      <c r="F21" s="106"/>
      <c r="G21" s="8"/>
      <c r="H21" s="9"/>
      <c r="I21" s="9"/>
      <c r="J21" s="9"/>
    </row>
    <row r="22" spans="1:10" ht="38.25">
      <c r="A22" s="13" t="s">
        <v>56</v>
      </c>
      <c r="B22" s="14" t="s">
        <v>186</v>
      </c>
      <c r="C22" s="110" t="s">
        <v>187</v>
      </c>
      <c r="D22" s="110"/>
      <c r="E22" s="110"/>
      <c r="F22" s="110"/>
      <c r="G22" s="18">
        <f>SUM(G18:G21)</f>
        <v>0</v>
      </c>
      <c r="H22" s="18">
        <v>0</v>
      </c>
      <c r="I22" s="18">
        <v>0</v>
      </c>
      <c r="J22" s="18">
        <v>0</v>
      </c>
    </row>
    <row r="23" spans="1:10" ht="25.5">
      <c r="A23" s="5" t="s">
        <v>59</v>
      </c>
      <c r="B23" s="19" t="s">
        <v>188</v>
      </c>
      <c r="C23" s="106" t="s">
        <v>189</v>
      </c>
      <c r="D23" s="106"/>
      <c r="E23" s="106"/>
      <c r="F23" s="106"/>
      <c r="G23" s="8"/>
      <c r="H23" s="9"/>
      <c r="I23" s="9"/>
      <c r="J23" s="9"/>
    </row>
    <row r="24" spans="1:10" ht="25.5">
      <c r="A24" s="5" t="s">
        <v>62</v>
      </c>
      <c r="B24" s="19" t="s">
        <v>190</v>
      </c>
      <c r="C24" s="106" t="s">
        <v>191</v>
      </c>
      <c r="D24" s="106"/>
      <c r="E24" s="106"/>
      <c r="F24" s="106"/>
      <c r="G24" s="8">
        <v>275590</v>
      </c>
      <c r="H24" s="8">
        <v>0</v>
      </c>
      <c r="I24" s="8">
        <f>G24</f>
        <v>275590</v>
      </c>
      <c r="J24" s="8">
        <v>0</v>
      </c>
    </row>
    <row r="25" spans="1:10" ht="38.25">
      <c r="A25" s="5" t="s">
        <v>65</v>
      </c>
      <c r="B25" s="19" t="s">
        <v>192</v>
      </c>
      <c r="C25" s="106" t="s">
        <v>193</v>
      </c>
      <c r="D25" s="106"/>
      <c r="E25" s="106"/>
      <c r="F25" s="106"/>
      <c r="G25" s="8"/>
      <c r="H25" s="9"/>
      <c r="I25" s="12"/>
      <c r="J25" s="9"/>
    </row>
    <row r="26" spans="1:10" ht="25.5">
      <c r="A26" s="5" t="s">
        <v>68</v>
      </c>
      <c r="B26" s="19" t="s">
        <v>194</v>
      </c>
      <c r="C26" s="106" t="s">
        <v>195</v>
      </c>
      <c r="D26" s="106"/>
      <c r="E26" s="106"/>
      <c r="F26" s="106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106" t="s">
        <v>197</v>
      </c>
      <c r="D27" s="106"/>
      <c r="E27" s="106"/>
      <c r="F27" s="106"/>
      <c r="G27" s="8"/>
      <c r="H27" s="9"/>
      <c r="I27" s="9"/>
      <c r="J27" s="9"/>
    </row>
    <row r="28" spans="1:10" ht="38.25">
      <c r="A28" s="5" t="s">
        <v>74</v>
      </c>
      <c r="B28" s="19" t="s">
        <v>198</v>
      </c>
      <c r="C28" s="106" t="s">
        <v>199</v>
      </c>
      <c r="D28" s="106"/>
      <c r="E28" s="106"/>
      <c r="F28" s="106"/>
      <c r="G28" s="8">
        <f>(G24*0.27)+1</f>
        <v>74410.3</v>
      </c>
      <c r="H28" s="8">
        <f>H24*0.05%</f>
        <v>0</v>
      </c>
      <c r="I28" s="8">
        <f>G28</f>
        <v>74410.3</v>
      </c>
      <c r="J28" s="8">
        <f>J24*0.05%</f>
        <v>0</v>
      </c>
    </row>
    <row r="29" spans="1:10" ht="38.25">
      <c r="A29" s="13" t="s">
        <v>77</v>
      </c>
      <c r="B29" s="48" t="s">
        <v>200</v>
      </c>
      <c r="C29" s="110" t="s">
        <v>201</v>
      </c>
      <c r="D29" s="110"/>
      <c r="E29" s="110"/>
      <c r="F29" s="110"/>
      <c r="G29" s="18">
        <f>SUM(G23:G28)</f>
        <v>350000.3</v>
      </c>
      <c r="H29" s="18">
        <f>SUM(H23:H28)</f>
        <v>0</v>
      </c>
      <c r="I29" s="18">
        <f>SUM(I24:I28)</f>
        <v>350000.3</v>
      </c>
      <c r="J29" s="18">
        <v>0</v>
      </c>
    </row>
    <row r="30" spans="1:10" ht="25.5">
      <c r="A30" s="49" t="s">
        <v>80</v>
      </c>
      <c r="B30" s="21" t="s">
        <v>202</v>
      </c>
      <c r="C30" s="7" t="s">
        <v>203</v>
      </c>
      <c r="D30" s="22"/>
      <c r="E30" s="22"/>
      <c r="F30" s="22"/>
      <c r="G30" s="59"/>
      <c r="H30" s="9"/>
      <c r="I30" s="9"/>
      <c r="J30" s="9"/>
    </row>
    <row r="31" spans="1:10" ht="25.5">
      <c r="A31" s="13" t="s">
        <v>83</v>
      </c>
      <c r="B31" s="48" t="s">
        <v>204</v>
      </c>
      <c r="C31" s="23" t="s">
        <v>203</v>
      </c>
      <c r="D31" s="23"/>
      <c r="E31" s="23"/>
      <c r="F31" s="23"/>
      <c r="G31" s="18">
        <f>SUM(G30)</f>
        <v>0</v>
      </c>
      <c r="H31" s="18">
        <v>0</v>
      </c>
      <c r="I31" s="18">
        <v>0</v>
      </c>
      <c r="J31" s="18">
        <v>0</v>
      </c>
    </row>
    <row r="32" spans="1:10" ht="89.25">
      <c r="A32" s="5" t="s">
        <v>86</v>
      </c>
      <c r="B32" s="10" t="s">
        <v>206</v>
      </c>
      <c r="C32" s="106" t="s">
        <v>207</v>
      </c>
      <c r="D32" s="106"/>
      <c r="E32" s="106"/>
      <c r="F32" s="106"/>
      <c r="G32" s="8"/>
      <c r="H32" s="9"/>
      <c r="I32" s="9"/>
      <c r="J32" s="9"/>
    </row>
    <row r="33" spans="1:10" ht="51">
      <c r="A33" s="13" t="s">
        <v>89</v>
      </c>
      <c r="B33" s="14" t="s">
        <v>208</v>
      </c>
      <c r="C33" s="110" t="s">
        <v>209</v>
      </c>
      <c r="D33" s="110"/>
      <c r="E33" s="110"/>
      <c r="F33" s="110"/>
      <c r="G33" s="18">
        <f>SUM(G32)</f>
        <v>0</v>
      </c>
      <c r="H33" s="18">
        <v>0</v>
      </c>
      <c r="I33" s="18">
        <v>0</v>
      </c>
      <c r="J33" s="18">
        <v>0</v>
      </c>
    </row>
    <row r="34" spans="1:10" ht="38.25">
      <c r="A34" s="5" t="s">
        <v>92</v>
      </c>
      <c r="B34" s="10" t="s">
        <v>210</v>
      </c>
      <c r="C34" s="7" t="s">
        <v>211</v>
      </c>
      <c r="D34" s="22"/>
      <c r="E34" s="22"/>
      <c r="F34" s="22"/>
      <c r="G34" s="59"/>
      <c r="H34" s="9"/>
      <c r="I34" s="9"/>
      <c r="J34" s="9"/>
    </row>
    <row r="35" spans="1:10" ht="38.25">
      <c r="A35" s="13" t="s">
        <v>95</v>
      </c>
      <c r="B35" s="14" t="s">
        <v>212</v>
      </c>
      <c r="C35" s="110" t="s">
        <v>213</v>
      </c>
      <c r="D35" s="110"/>
      <c r="E35" s="110"/>
      <c r="F35" s="110"/>
      <c r="G35" s="18">
        <f>SUM(G34)</f>
        <v>0</v>
      </c>
      <c r="H35" s="18">
        <v>0</v>
      </c>
      <c r="I35" s="18">
        <v>0</v>
      </c>
      <c r="J35" s="18">
        <v>0</v>
      </c>
    </row>
    <row r="36" spans="1:10" ht="51">
      <c r="A36" s="13" t="s">
        <v>98</v>
      </c>
      <c r="B36" s="30" t="s">
        <v>214</v>
      </c>
      <c r="C36" s="110" t="s">
        <v>215</v>
      </c>
      <c r="D36" s="110"/>
      <c r="E36" s="110"/>
      <c r="F36" s="110"/>
      <c r="G36" s="18">
        <f>G15+G17+G22+G29+G33+G35</f>
        <v>350000.3</v>
      </c>
      <c r="H36" s="18">
        <f>H35+H33+H31+H29+H22+H17+H15</f>
        <v>0</v>
      </c>
      <c r="I36" s="18">
        <f>I15+I17+I22+I29+I31+I33+I35</f>
        <v>350000.3</v>
      </c>
      <c r="J36" s="18">
        <v>0</v>
      </c>
    </row>
    <row r="37" spans="1:10" ht="15">
      <c r="A37" s="31"/>
      <c r="B37" s="2"/>
      <c r="C37" s="2"/>
      <c r="D37" s="2"/>
      <c r="E37" s="2"/>
      <c r="F37" s="2"/>
      <c r="G37" s="32"/>
      <c r="H37" s="2"/>
      <c r="I37" s="2"/>
      <c r="J37" s="2"/>
    </row>
    <row r="38" spans="1:10" ht="15">
      <c r="A38" s="123" t="s">
        <v>216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>
      <c r="A39" s="112" t="s">
        <v>3</v>
      </c>
      <c r="B39" s="113" t="s">
        <v>4</v>
      </c>
      <c r="C39" s="114" t="s">
        <v>5</v>
      </c>
      <c r="D39" s="114"/>
      <c r="E39" s="114"/>
      <c r="F39" s="114"/>
      <c r="G39" s="115" t="s">
        <v>144</v>
      </c>
      <c r="H39" s="116" t="s">
        <v>7</v>
      </c>
      <c r="I39" s="117"/>
      <c r="J39" s="118"/>
    </row>
    <row r="40" spans="1:10" ht="25.5">
      <c r="A40" s="112"/>
      <c r="B40" s="113"/>
      <c r="C40" s="114"/>
      <c r="D40" s="114"/>
      <c r="E40" s="114"/>
      <c r="F40" s="114"/>
      <c r="G40" s="115"/>
      <c r="H40" s="4" t="s">
        <v>8</v>
      </c>
      <c r="I40" s="4" t="s">
        <v>9</v>
      </c>
      <c r="J40" s="4" t="s">
        <v>10</v>
      </c>
    </row>
    <row r="41" spans="1:10" ht="51">
      <c r="A41" s="5" t="s">
        <v>101</v>
      </c>
      <c r="B41" s="19" t="s">
        <v>217</v>
      </c>
      <c r="C41" s="106" t="s">
        <v>218</v>
      </c>
      <c r="D41" s="106"/>
      <c r="E41" s="106"/>
      <c r="F41" s="106"/>
      <c r="G41" s="8">
        <f>774304+15405</f>
        <v>789709</v>
      </c>
      <c r="H41" s="8">
        <f>G41</f>
        <v>789709</v>
      </c>
      <c r="I41" s="12"/>
      <c r="J41" s="12"/>
    </row>
    <row r="42" spans="1:10" ht="25.5">
      <c r="A42" s="5" t="s">
        <v>104</v>
      </c>
      <c r="B42" s="19" t="s">
        <v>219</v>
      </c>
      <c r="C42" s="106" t="s">
        <v>220</v>
      </c>
      <c r="D42" s="106"/>
      <c r="E42" s="106"/>
      <c r="F42" s="106"/>
      <c r="G42" s="8"/>
      <c r="H42" s="12"/>
      <c r="I42" s="12"/>
      <c r="J42" s="12"/>
    </row>
    <row r="43" spans="1:10" ht="25.5">
      <c r="A43" s="5" t="s">
        <v>107</v>
      </c>
      <c r="B43" s="19" t="s">
        <v>221</v>
      </c>
      <c r="C43" s="53" t="s">
        <v>222</v>
      </c>
      <c r="D43" s="54"/>
      <c r="E43" s="54"/>
      <c r="F43" s="55"/>
      <c r="G43" s="8">
        <f>'[2]könyvtár kiad.'!G49-G41-G36</f>
        <v>17408726.060000002</v>
      </c>
      <c r="H43" s="8">
        <f>G43</f>
        <v>17408726.060000002</v>
      </c>
      <c r="I43" s="12"/>
      <c r="J43" s="12"/>
    </row>
    <row r="44" spans="1:10" ht="25.5">
      <c r="A44" s="13" t="s">
        <v>110</v>
      </c>
      <c r="B44" s="30" t="s">
        <v>223</v>
      </c>
      <c r="C44" s="107" t="s">
        <v>224</v>
      </c>
      <c r="D44" s="108"/>
      <c r="E44" s="108"/>
      <c r="F44" s="109"/>
      <c r="G44" s="18">
        <f>SUM(G41:G43)</f>
        <v>18198435.060000002</v>
      </c>
      <c r="H44" s="18">
        <f>SUM(H41:H43)</f>
        <v>18198435.060000002</v>
      </c>
      <c r="I44" s="17"/>
      <c r="J44" s="17"/>
    </row>
    <row r="45" spans="1:10" ht="15">
      <c r="A45" s="38"/>
      <c r="B45" s="2"/>
      <c r="C45" s="2"/>
      <c r="D45" s="2"/>
      <c r="E45" s="2"/>
      <c r="F45" s="2"/>
      <c r="G45" s="32"/>
      <c r="H45" s="2"/>
      <c r="I45" s="2"/>
      <c r="J45" s="2"/>
    </row>
    <row r="46" spans="1:10" ht="25.5">
      <c r="A46" s="39"/>
      <c r="B46" s="40" t="s">
        <v>225</v>
      </c>
      <c r="C46" s="108"/>
      <c r="D46" s="108"/>
      <c r="E46" s="108"/>
      <c r="F46" s="108"/>
      <c r="G46" s="42">
        <f>G44+G36</f>
        <v>18548435.360000003</v>
      </c>
      <c r="H46" s="42"/>
      <c r="I46" s="62"/>
      <c r="J46" s="63"/>
    </row>
  </sheetData>
  <sheetProtection/>
  <mergeCells count="43"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2022-01-21T20:06:41Z</dcterms:created>
  <dcterms:modified xsi:type="dcterms:W3CDTF">2022-01-21T20:28:36Z</dcterms:modified>
  <cp:category/>
  <cp:version/>
  <cp:contentType/>
  <cp:contentStatus/>
</cp:coreProperties>
</file>